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640" windowHeight="8445" tabRatio="887" activeTab="16"/>
  </bookViews>
  <sheets>
    <sheet name="Q1 ch3 CVP net op income" sheetId="1" r:id="rId1"/>
    <sheet name="Q2 ch3 safety margin " sheetId="2" r:id="rId2"/>
    <sheet name="Q4 ch3 CVP new sales" sheetId="3" r:id="rId3"/>
    <sheet name="Q6 ch4 constraint res" sheetId="4" r:id="rId4"/>
    <sheet name="Q7 ch4 diff costs" sheetId="5" r:id="rId5"/>
    <sheet name="Q9 ch4 min price" sheetId="6" r:id="rId6"/>
    <sheet name="Q13 ch6 trad-ABC" sheetId="7" r:id="rId7"/>
    <sheet name="Q16 ch6 ABC" sheetId="8" r:id="rId8"/>
    <sheet name="Q17 ch7 transferprice" sheetId="9" r:id="rId9"/>
    <sheet name="Q21 ch8 cash budget" sheetId="10" r:id="rId10"/>
    <sheet name="Q22 ch8 prod budget" sheetId="11" r:id="rId11"/>
    <sheet name="Q25 ch9 dir lab effvar" sheetId="12" r:id="rId12"/>
    <sheet name="Q26 ch9 mat effvar" sheetId="13" r:id="rId13"/>
    <sheet name="Q27 ch9 overh eff var" sheetId="14" r:id="rId14"/>
    <sheet name="Q28 ch10 NPV" sheetId="15" r:id="rId15"/>
    <sheet name="Q29 ch10 irr" sheetId="16" r:id="rId16"/>
    <sheet name="Q33-34 ch2_Ilse's new business" sheetId="17" r:id="rId17"/>
    <sheet name="Q38 ch1_2_Play games" sheetId="18" r:id="rId18"/>
    <sheet name="Q40-41 ch12_Agrobus holding" sheetId="19" r:id="rId19"/>
    <sheet name="Q42 ch12_ZEBRA" sheetId="20" r:id="rId20"/>
  </sheets>
  <definedNames/>
  <calcPr fullCalcOnLoad="1"/>
</workbook>
</file>

<file path=xl/sharedStrings.xml><?xml version="1.0" encoding="utf-8"?>
<sst xmlns="http://schemas.openxmlformats.org/spreadsheetml/2006/main" count="451" uniqueCount="309">
  <si>
    <t>selling price</t>
  </si>
  <si>
    <t>bep</t>
  </si>
  <si>
    <t>per unit</t>
  </si>
  <si>
    <t>total</t>
  </si>
  <si>
    <t>sales</t>
  </si>
  <si>
    <t>var.exp.</t>
  </si>
  <si>
    <t>cm</t>
  </si>
  <si>
    <t>fix.exp.</t>
  </si>
  <si>
    <t>units</t>
  </si>
  <si>
    <t>net op.inc.</t>
  </si>
  <si>
    <t>extra units sold above bep</t>
  </si>
  <si>
    <t>sales in units</t>
  </si>
  <si>
    <t>in bep:   cm = fixed exp.</t>
  </si>
  <si>
    <t>%</t>
  </si>
  <si>
    <t>sales in units:</t>
  </si>
  <si>
    <t>extra</t>
  </si>
  <si>
    <t>bep sales</t>
  </si>
  <si>
    <t>m of s</t>
  </si>
  <si>
    <t>Sea Shorts</t>
  </si>
  <si>
    <t>a</t>
  </si>
  <si>
    <t>b</t>
  </si>
  <si>
    <t>= c</t>
  </si>
  <si>
    <t>d</t>
  </si>
  <si>
    <t>e</t>
  </si>
  <si>
    <t>f</t>
  </si>
  <si>
    <t>c = a * b</t>
  </si>
  <si>
    <t>g</t>
  </si>
  <si>
    <t>h</t>
  </si>
  <si>
    <t>or</t>
  </si>
  <si>
    <t>sales price per unit</t>
  </si>
  <si>
    <t>sales in €</t>
  </si>
  <si>
    <t>sales in units this year</t>
  </si>
  <si>
    <t>sales in units last year</t>
  </si>
  <si>
    <t>German Division</t>
  </si>
  <si>
    <t>new:</t>
  </si>
  <si>
    <t>variable expenses:</t>
  </si>
  <si>
    <t>direct materials</t>
  </si>
  <si>
    <t>other variable expenses</t>
  </si>
  <si>
    <t>total variable expenses</t>
  </si>
  <si>
    <t>contribution margin</t>
  </si>
  <si>
    <t>materials costs per kilo</t>
  </si>
  <si>
    <t>number of kilo's available each month</t>
  </si>
  <si>
    <t>kilo's</t>
  </si>
  <si>
    <t>CM per kilo</t>
  </si>
  <si>
    <t xml:space="preserve">A  </t>
  </si>
  <si>
    <t xml:space="preserve">B  </t>
  </si>
  <si>
    <t xml:space="preserve">C  </t>
  </si>
  <si>
    <t xml:space="preserve">D  </t>
  </si>
  <si>
    <t>totals</t>
  </si>
  <si>
    <t>sales revenues</t>
  </si>
  <si>
    <t>costs</t>
  </si>
  <si>
    <t>profit</t>
  </si>
  <si>
    <t>unavoidable costs (not relevant)</t>
  </si>
  <si>
    <t>margin sub-total</t>
  </si>
  <si>
    <t>drop other CM (relevant)</t>
  </si>
  <si>
    <t>margin in total</t>
  </si>
  <si>
    <t>sellling price</t>
  </si>
  <si>
    <t>lowest selling price</t>
  </si>
  <si>
    <t>production</t>
  </si>
  <si>
    <t xml:space="preserve">        differential costs (*)</t>
  </si>
  <si>
    <t xml:space="preserve">   total differential costs</t>
  </si>
  <si>
    <t xml:space="preserve">cost </t>
  </si>
  <si>
    <t>unit</t>
  </si>
  <si>
    <t>make</t>
  </si>
  <si>
    <t>buy</t>
  </si>
  <si>
    <t>direct labor</t>
  </si>
  <si>
    <t>varn.man.OH</t>
  </si>
  <si>
    <t>fix.man.OH</t>
  </si>
  <si>
    <t>outside purch.price</t>
  </si>
  <si>
    <t>difference in favor of buy</t>
  </si>
  <si>
    <t>relevant in unit product cost:</t>
  </si>
  <si>
    <t>ad.(*): het gaat in make-buy altijd om 'diferential' t.o.v. het andere alternatief</t>
  </si>
  <si>
    <t>opportunity costs</t>
  </si>
  <si>
    <t>variable costs:</t>
  </si>
  <si>
    <t xml:space="preserve">   production</t>
  </si>
  <si>
    <t xml:space="preserve">   selling</t>
  </si>
  <si>
    <t>avoidable fixed costs:</t>
  </si>
  <si>
    <t>allocated fixed costs</t>
  </si>
  <si>
    <t>bass guitars</t>
  </si>
  <si>
    <t>activity</t>
  </si>
  <si>
    <t>rate</t>
  </si>
  <si>
    <t>labour</t>
  </si>
  <si>
    <t>batches</t>
  </si>
  <si>
    <t>traditional:</t>
  </si>
  <si>
    <t>ABC:</t>
  </si>
  <si>
    <t>the job:</t>
  </si>
  <si>
    <t>Cost-data three products:</t>
  </si>
  <si>
    <t>A</t>
  </si>
  <si>
    <t>B</t>
  </si>
  <si>
    <t>C</t>
  </si>
  <si>
    <t>Annual production</t>
  </si>
  <si>
    <t>Material cost per unit</t>
  </si>
  <si>
    <t>ABC-data for all products:</t>
  </si>
  <si>
    <t>Annual</t>
  </si>
  <si>
    <t>cost</t>
  </si>
  <si>
    <t>volume</t>
  </si>
  <si>
    <t>Number of set-ups</t>
  </si>
  <si>
    <t>Machine maintenance (hours)</t>
  </si>
  <si>
    <t>Number of purchases</t>
  </si>
  <si>
    <t>Number of shipments</t>
  </si>
  <si>
    <t>ABC-data three products:</t>
  </si>
  <si>
    <t>Direct labor costs per unit</t>
  </si>
  <si>
    <t>Manufacturing overhead per unit</t>
  </si>
  <si>
    <t>ABC-data three products</t>
  </si>
  <si>
    <t>Total manufacturing overhead</t>
  </si>
  <si>
    <t>Costs per product:</t>
  </si>
  <si>
    <t>Total costs per product:</t>
  </si>
  <si>
    <t>packaging and shipping</t>
  </si>
  <si>
    <t>lost production</t>
  </si>
  <si>
    <t>lost CM</t>
  </si>
  <si>
    <t>Direct labor cost per unit</t>
  </si>
  <si>
    <t>part Y</t>
  </si>
  <si>
    <t>new part X:</t>
  </si>
  <si>
    <t>units new part X</t>
  </si>
  <si>
    <t>Q1</t>
  </si>
  <si>
    <t>Q2</t>
  </si>
  <si>
    <t>Q3</t>
  </si>
  <si>
    <t>Q4</t>
  </si>
  <si>
    <t>Year</t>
  </si>
  <si>
    <t>Budgeted sales in units</t>
  </si>
  <si>
    <t>Required ending stock (units)</t>
  </si>
  <si>
    <t>Total goods needed (units)</t>
  </si>
  <si>
    <t>Less: beginning stock (units)</t>
  </si>
  <si>
    <t>Production required (units)</t>
  </si>
  <si>
    <t>Production budget (A)</t>
  </si>
  <si>
    <t>Production budget (B)</t>
  </si>
  <si>
    <t>Production budget (C)</t>
  </si>
  <si>
    <t>Production budget (D)</t>
  </si>
  <si>
    <t>April</t>
  </si>
  <si>
    <t>May</t>
  </si>
  <si>
    <t>June</t>
  </si>
  <si>
    <t>Feb</t>
  </si>
  <si>
    <t>Mar</t>
  </si>
  <si>
    <t>Apr</t>
  </si>
  <si>
    <t>cash inflow</t>
  </si>
  <si>
    <t>debtors</t>
  </si>
  <si>
    <t>man.OH</t>
  </si>
  <si>
    <t>sub-total</t>
  </si>
  <si>
    <t>Q</t>
  </si>
  <si>
    <t>P</t>
  </si>
  <si>
    <t>direct labour</t>
  </si>
  <si>
    <t>- hours</t>
  </si>
  <si>
    <t>- rate per hour</t>
  </si>
  <si>
    <t>total variable cost one unit finished product</t>
  </si>
  <si>
    <t>standard rate per hour</t>
  </si>
  <si>
    <t>products</t>
  </si>
  <si>
    <t>efficiency variance in € in labour hours:</t>
  </si>
  <si>
    <t>efficiency variance in labour hours per product</t>
  </si>
  <si>
    <t>standard time in labour hours</t>
  </si>
  <si>
    <t>efficiency variance in labour hours in total</t>
  </si>
  <si>
    <t>actual labour hours used</t>
  </si>
  <si>
    <t>standard labour rate</t>
  </si>
  <si>
    <t>actual labour rate</t>
  </si>
  <si>
    <t>direct labour hours per product</t>
  </si>
  <si>
    <t>labour rate variance</t>
  </si>
  <si>
    <t>standard Q</t>
  </si>
  <si>
    <t>standard P</t>
  </si>
  <si>
    <t>stand. Q*P</t>
  </si>
  <si>
    <t>actual Q</t>
  </si>
  <si>
    <t>* actual P</t>
  </si>
  <si>
    <t>* standard P</t>
  </si>
  <si>
    <t>*standard P</t>
  </si>
  <si>
    <t>price variance</t>
  </si>
  <si>
    <t>efficiency variance</t>
  </si>
  <si>
    <t>variable man.OH</t>
  </si>
  <si>
    <t>(2)</t>
  </si>
  <si>
    <t>(1)</t>
  </si>
  <si>
    <t>budgeted fixed overhead:</t>
  </si>
  <si>
    <t>- rate per unit</t>
  </si>
  <si>
    <t>- units</t>
  </si>
  <si>
    <t>total overhead</t>
  </si>
  <si>
    <t>variable overhead</t>
  </si>
  <si>
    <t>direct labor hours:</t>
  </si>
  <si>
    <t>- labor hours per unit</t>
  </si>
  <si>
    <t>variable overhead rate</t>
  </si>
  <si>
    <t>actual direct labor hours</t>
  </si>
  <si>
    <t>actual production</t>
  </si>
  <si>
    <t>labour hours</t>
  </si>
  <si>
    <t>price var</t>
  </si>
  <si>
    <t>eff.var</t>
  </si>
  <si>
    <t>Net present value</t>
  </si>
  <si>
    <t>Item</t>
  </si>
  <si>
    <t>year(s)</t>
  </si>
  <si>
    <t>cash flow</t>
  </si>
  <si>
    <t>pres.value</t>
  </si>
  <si>
    <t>gross cost investment</t>
  </si>
  <si>
    <t>now</t>
  </si>
  <si>
    <t>working capital</t>
  </si>
  <si>
    <t xml:space="preserve">Net cash inflow (outflow) </t>
  </si>
  <si>
    <t>Exhibit 10A.3</t>
  </si>
  <si>
    <t>Exhibit 10A.4</t>
  </si>
  <si>
    <t xml:space="preserve"> 1-3</t>
  </si>
  <si>
    <t>salvage value</t>
  </si>
  <si>
    <t>net present value</t>
  </si>
  <si>
    <t>12 factor</t>
  </si>
  <si>
    <t xml:space="preserve"> 1-10</t>
  </si>
  <si>
    <t xml:space="preserve"> 4-10</t>
  </si>
  <si>
    <t>=</t>
  </si>
  <si>
    <t>variance</t>
  </si>
  <si>
    <t>Year(s)</t>
  </si>
  <si>
    <t>Pres.value</t>
  </si>
  <si>
    <t>factor</t>
  </si>
  <si>
    <t>of CFs</t>
  </si>
  <si>
    <t>Investment</t>
  </si>
  <si>
    <t>Annual cash inflows</t>
  </si>
  <si>
    <t>Salvage value</t>
  </si>
  <si>
    <t>Life of the investment</t>
  </si>
  <si>
    <t>years</t>
  </si>
  <si>
    <t>Required rate of return</t>
  </si>
  <si>
    <t>(a)</t>
  </si>
  <si>
    <t>(b)</t>
  </si>
  <si>
    <t>(b) - (a)</t>
  </si>
  <si>
    <t>internal rate of return:</t>
  </si>
  <si>
    <t>1-7</t>
  </si>
  <si>
    <t xml:space="preserve">zie tabel 10A.4 bij 7 jaar en volg de rij; </t>
  </si>
  <si>
    <t>de waarde 3,605 ligt het dichts bij;</t>
  </si>
  <si>
    <t>deze waarde staat in de kolom 20%,</t>
  </si>
  <si>
    <t xml:space="preserve">die samengestelde waarde komt tot stand </t>
  </si>
  <si>
    <t>bij een irr van 20%</t>
  </si>
  <si>
    <t>check on variance net cash inlow (outflow) using different methods:</t>
  </si>
  <si>
    <t>* using Exhibits (see figures above)</t>
  </si>
  <si>
    <t>* more exact accout:</t>
  </si>
  <si>
    <t>overcosted:</t>
  </si>
  <si>
    <t>BUSINESS UNITS</t>
  </si>
  <si>
    <t>AGRO</t>
  </si>
  <si>
    <t>TERMO</t>
  </si>
  <si>
    <t>FIXED</t>
  </si>
  <si>
    <t xml:space="preserve">Sales </t>
  </si>
  <si>
    <t>1. Sales=Turnover x Assets</t>
  </si>
  <si>
    <t>Net operating profit</t>
  </si>
  <si>
    <t>2. Profit= Margin x Sales</t>
  </si>
  <si>
    <t>Average operating assets</t>
  </si>
  <si>
    <t>Margin= Profit/Sales</t>
  </si>
  <si>
    <t>Turnover=Sales/Assets</t>
  </si>
  <si>
    <t>ROI= Profit/Assets= Margin x Turnover</t>
  </si>
  <si>
    <t xml:space="preserve"> </t>
  </si>
  <si>
    <t>comments</t>
  </si>
  <si>
    <t>Business Unit TERMO does the best among three units in terms of profit margin, meaning the make the best use of their sales capabilities</t>
  </si>
  <si>
    <t xml:space="preserve">Company AGRO  has a much higher turnover on assets than the other two units, they know how to emply assets and create value from it at best among the three units </t>
  </si>
  <si>
    <t>Whereas a pound of investment in Company A supports two pounds in sales each period, a pound investment in Company B supports only fifty cents in sales each period</t>
  </si>
  <si>
    <t>Is the company B keeping an inventory larger than necessary for its sales volume? Are receivables being collected promptly?</t>
  </si>
  <si>
    <t>did Company A acquire its fixed assets at a price level which was much lower than that at which Company B purchased its plant?</t>
  </si>
  <si>
    <t>by including sales specifically in ROI computations the manager is able to discover possible problems, as well as reasons underlying a strong or a weak performance</t>
  </si>
  <si>
    <t>Solution template P2-11</t>
  </si>
  <si>
    <t>Product cost</t>
  </si>
  <si>
    <t>Period cost</t>
  </si>
  <si>
    <t>Name of the cost</t>
  </si>
  <si>
    <t>Variable cost</t>
  </si>
  <si>
    <t>Fixed cost</t>
  </si>
  <si>
    <t>Direct materials</t>
  </si>
  <si>
    <t>Direct Labour</t>
  </si>
  <si>
    <t>Indirect Mfg. Overhead</t>
  </si>
  <si>
    <t>Indirect(Selling and administrative costs)</t>
  </si>
  <si>
    <t>Opportunity cost</t>
  </si>
  <si>
    <t>Sunk Cost</t>
  </si>
  <si>
    <t>1.</t>
  </si>
  <si>
    <t>V&amp;D salary of €430 netto per month</t>
  </si>
  <si>
    <t>2.</t>
  </si>
  <si>
    <t>Dodge Chinook mobile juice bar lease price is 395 Eur per month</t>
  </si>
  <si>
    <t>3.</t>
  </si>
  <si>
    <t>her brother paints the bus in colors for 250 Euros</t>
  </si>
  <si>
    <t>4.</t>
  </si>
  <si>
    <t>She purchased three high-power batteries 150 euro each sufficient for 4 hours work</t>
  </si>
  <si>
    <t>5.</t>
  </si>
  <si>
    <t>CareersCompany at FEB supports student’s initiatives and allow Ilse to plug to charge all three the batteries unlimited each night at FEB security free of charge for the first year of her business</t>
  </si>
  <si>
    <t>6.</t>
  </si>
  <si>
    <t>twice a week she spend 200 Eur for purchases in the market</t>
  </si>
  <si>
    <t>7.</t>
  </si>
  <si>
    <t>Ilse's salary of 500 Euro per month: Half of her time she will spend to work on Mondays on preparing &amp; selling shakes, half administrative</t>
  </si>
  <si>
    <t>8.</t>
  </si>
  <si>
    <t xml:space="preserve"> salaries of her working friends of 180 Eur per month and a 3% of the turnover as compensation</t>
  </si>
  <si>
    <t>9.</t>
  </si>
  <si>
    <t>the costs of the certified hygienic standards course and acquired health license to work with food, 120 Eur per person</t>
  </si>
  <si>
    <t>10.</t>
  </si>
  <si>
    <t>aunt gives her 3000 EUR as a family present for her master thesis in advance</t>
  </si>
  <si>
    <t>11.</t>
  </si>
  <si>
    <t>Answers are in grey cells</t>
  </si>
  <si>
    <t>total direct costs</t>
  </si>
  <si>
    <t>total indirect costs</t>
  </si>
  <si>
    <t>controle</t>
  </si>
  <si>
    <t>wrong indirect costs</t>
  </si>
  <si>
    <t>shakes per uur</t>
  </si>
  <si>
    <t>opening hours per day</t>
  </si>
  <si>
    <t>days</t>
  </si>
  <si>
    <t>turnover per month</t>
  </si>
  <si>
    <t>number of shakes sold per month</t>
  </si>
  <si>
    <t>total cost per unit</t>
  </si>
  <si>
    <t>variable cost per unit</t>
  </si>
  <si>
    <t>total costs at sales volume 800:</t>
  </si>
  <si>
    <t>wrong answers total costs at sales volumen</t>
  </si>
  <si>
    <t>Cost of goods sold:</t>
  </si>
  <si>
    <t>finished goods inventory, beginning</t>
  </si>
  <si>
    <t>Add</t>
  </si>
  <si>
    <t>cost of goods manufactured</t>
  </si>
  <si>
    <t>Goods available for sale:</t>
  </si>
  <si>
    <t>Deduct</t>
  </si>
  <si>
    <t>finished goods inventory, ending</t>
  </si>
  <si>
    <t>Project data</t>
  </si>
  <si>
    <t>Sales of the new product in units</t>
  </si>
  <si>
    <t>Selling price of the new product</t>
  </si>
  <si>
    <t>Estimated variable cost per unit</t>
  </si>
  <si>
    <t>Increase in fixed costs by</t>
  </si>
  <si>
    <t>Investment budget agreed</t>
  </si>
  <si>
    <t>Net operating Income from the investment</t>
  </si>
  <si>
    <t>Minimum required return is 12%</t>
  </si>
  <si>
    <r>
      <t xml:space="preserve">RI </t>
    </r>
    <r>
      <rPr>
        <b/>
        <u val="single"/>
        <sz val="16"/>
        <color indexed="8"/>
        <rFont val="Calibri"/>
        <family val="2"/>
      </rPr>
      <t>of</t>
    </r>
    <r>
      <rPr>
        <sz val="16"/>
        <color indexed="8"/>
        <rFont val="Calibri"/>
        <family val="2"/>
      </rPr>
      <t xml:space="preserve"> the new investment if accepted is</t>
    </r>
  </si>
  <si>
    <t>the of her products in February</t>
  </si>
  <si>
    <t>Rate</t>
  </si>
  <si>
    <t>In PlayGames company during November, the cost of goods manufactured was € 125 000. The beginning finished goods inventory was € 75000 and the ending finished goods inventory was € 3700 . What was the cost of goods sold for the month?  </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</si>
</sst>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quot;€&quot;\ * #,##0.00_ ;_ &quot;€&quot;\ * \-#,##0.00_ ;_ &quot;€&quot;\ * &quot;-&quot;??_ ;_ @_ "/>
    <numFmt numFmtId="165" formatCode="_ * #,##0.00_ ;_ * \-#,##0.00_ ;_ * &quot;-&quot;??_ ;_ @_ "/>
    <numFmt numFmtId="166" formatCode="_-* #,##0.0000_-;_-* #,##0.0000\-;_-* &quot;-&quot;??_-;_-@_-"/>
    <numFmt numFmtId="167" formatCode="_-* #,##0_-;_-* #,##0\-;_-* &quot;-&quot;??_-;_-@_-"/>
    <numFmt numFmtId="168" formatCode="&quot;€&quot;\ #,##0_-"/>
    <numFmt numFmtId="169" formatCode="&quot;€&quot;\ #,##0.00_-"/>
    <numFmt numFmtId="170" formatCode="&quot;€&quot;\ #,##0.0000_-"/>
    <numFmt numFmtId="171" formatCode="&quot;€&quot;\ #,##0.00000_-"/>
    <numFmt numFmtId="172" formatCode="#,##0_ ;\-#,##0\ "/>
    <numFmt numFmtId="173" formatCode="_ * #,##0_ ;_ * \-#,##0_ ;_ * &quot;-&quot;??_ ;_ @_ "/>
    <numFmt numFmtId="174" formatCode="_ * #,##0.000_ ;_ * \-#,##0.000_ ;_ * &quot;-&quot;??_ ;_ @_ "/>
    <numFmt numFmtId="175" formatCode="_ * #,##0.00000_ ;_ * \-#,##0.00000_ ;_ * &quot;-&quot;??_ ;_ @_ "/>
    <numFmt numFmtId="176" formatCode="#,##0.00_ ;\-#,##0.00\ "/>
    <numFmt numFmtId="177" formatCode="_ [$€-413]\ * #,##0.00_ ;_ [$€-413]\ * \-#,##0.00_ ;_ [$€-413]\ * &quot;-&quot;??_ ;_ @_ "/>
    <numFmt numFmtId="178" formatCode="_-[$£-809]* #,##0_-;\-[$£-809]* #,##0_-;_-[$£-809]* &quot;-&quot;??_-;_-@_-"/>
  </numFmts>
  <fonts count="36">
    <font>
      <sz val="12"/>
      <name val="Times New Roman"/>
      <family val="0"/>
    </font>
    <font>
      <sz val="11"/>
      <color indexed="8"/>
      <name val="Calibri"/>
      <family val="2"/>
    </font>
    <font>
      <sz val="8"/>
      <name val="Times New Roman"/>
      <family val="1"/>
    </font>
    <font>
      <i/>
      <sz val="12"/>
      <name val="Times New Roman"/>
      <family val="1"/>
    </font>
    <font>
      <b/>
      <sz val="12"/>
      <name val="Times New Roman"/>
      <family val="1"/>
    </font>
    <font>
      <u val="single"/>
      <sz val="12"/>
      <name val="Times New Roman"/>
      <family val="1"/>
    </font>
    <font>
      <b/>
      <sz val="11"/>
      <color indexed="8"/>
      <name val="Calibri"/>
      <family val="2"/>
    </font>
    <font>
      <sz val="11"/>
      <color indexed="17"/>
      <name val="Calibri"/>
      <family val="2"/>
    </font>
    <font>
      <sz val="11"/>
      <color indexed="20"/>
      <name val="Calibri"/>
      <family val="2"/>
    </font>
    <font>
      <i/>
      <sz val="11"/>
      <color indexed="23"/>
      <name val="Calibri"/>
      <family val="2"/>
    </font>
    <font>
      <sz val="16"/>
      <color indexed="8"/>
      <name val="Calibri"/>
      <family val="2"/>
    </font>
    <font>
      <i/>
      <sz val="11"/>
      <color indexed="8"/>
      <name val="Calibri"/>
      <family val="2"/>
    </font>
    <font>
      <i/>
      <sz val="12"/>
      <color indexed="8"/>
      <name val="Arial"/>
      <family val="2"/>
    </font>
    <font>
      <sz val="12"/>
      <color indexed="8"/>
      <name val="Calibri"/>
      <family val="2"/>
    </font>
    <font>
      <b/>
      <sz val="12"/>
      <color indexed="8"/>
      <name val="Arial"/>
      <family val="2"/>
    </font>
    <font>
      <sz val="12"/>
      <color indexed="8"/>
      <name val="Arial"/>
      <family val="2"/>
    </font>
    <font>
      <sz val="16"/>
      <color indexed="17"/>
      <name val="Calibri"/>
      <family val="2"/>
    </font>
    <font>
      <i/>
      <sz val="16"/>
      <color indexed="23"/>
      <name val="Calibri"/>
      <family val="2"/>
    </font>
    <font>
      <sz val="12"/>
      <color indexed="8"/>
      <name val="Times"/>
      <family val="1"/>
    </font>
    <font>
      <sz val="12"/>
      <color indexed="23"/>
      <name val="Times"/>
      <family val="1"/>
    </font>
    <font>
      <b/>
      <u val="single"/>
      <sz val="12"/>
      <color indexed="8"/>
      <name val="Times"/>
      <family val="1"/>
    </font>
    <font>
      <sz val="9"/>
      <color indexed="8"/>
      <name val="Times"/>
      <family val="1"/>
    </font>
    <font>
      <i/>
      <sz val="8"/>
      <color indexed="8"/>
      <name val="Times"/>
      <family val="1"/>
    </font>
    <font>
      <b/>
      <u val="single"/>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style="thin"/>
      <top/>
      <bottom/>
    </border>
    <border>
      <left/>
      <right style="thin"/>
      <top/>
      <bottom style="thin"/>
    </border>
    <border>
      <left style="thin"/>
      <right/>
      <top/>
      <bottom/>
    </border>
    <border>
      <left style="medium"/>
      <right style="medium"/>
      <top style="medium"/>
      <bottom style="medium"/>
    </border>
    <border>
      <left style="thin"/>
      <right/>
      <top style="thin"/>
      <bottom/>
    </border>
    <border>
      <left/>
      <right/>
      <top style="thin"/>
      <bottom/>
    </border>
    <border>
      <left/>
      <right style="thin"/>
      <top style="thin"/>
      <bottom/>
    </border>
    <border>
      <left style="thin"/>
      <right style="thin"/>
      <top style="thin"/>
      <bottom/>
    </border>
    <border>
      <left style="medium"/>
      <right style="thin"/>
      <top style="medium"/>
      <bottom/>
    </border>
    <border>
      <left style="thin"/>
      <right style="medium"/>
      <top style="medium"/>
      <bottom/>
    </border>
    <border>
      <left style="medium"/>
      <right/>
      <top style="medium"/>
      <bottom/>
    </border>
    <border>
      <left/>
      <right/>
      <top style="medium"/>
      <bottom/>
    </border>
    <border>
      <left/>
      <right style="thin"/>
      <top style="medium"/>
      <bottom/>
    </border>
    <border>
      <left style="thin"/>
      <right style="thin"/>
      <top style="thin"/>
      <bottom style="thin"/>
    </border>
    <border>
      <left style="thin"/>
      <right/>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8"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xf numFmtId="0" fontId="7"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8" fillId="22" borderId="0" applyNumberFormat="0" applyBorder="0" applyAlignment="0" applyProtection="0"/>
    <xf numFmtId="0" fontId="1"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6" fillId="0" borderId="9" applyNumberFormat="0" applyFill="0" applyAlignment="0" applyProtection="0"/>
    <xf numFmtId="0" fontId="34" fillId="0" borderId="0" applyNumberFormat="0" applyFill="0" applyBorder="0" applyAlignment="0" applyProtection="0"/>
  </cellStyleXfs>
  <cellXfs count="199">
    <xf numFmtId="0" fontId="0" fillId="0" borderId="0" xfId="0" applyAlignment="1">
      <alignment/>
    </xf>
    <xf numFmtId="0" fontId="0" fillId="0" borderId="0" xfId="0" applyAlignment="1">
      <alignment horizontal="right"/>
    </xf>
    <xf numFmtId="167" fontId="0" fillId="0" borderId="0" xfId="42" applyNumberFormat="1" applyFont="1" applyAlignment="1">
      <alignment/>
    </xf>
    <xf numFmtId="9" fontId="0" fillId="0" borderId="0" xfId="59" applyFont="1" applyAlignment="1">
      <alignment/>
    </xf>
    <xf numFmtId="167" fontId="0" fillId="0" borderId="10" xfId="42" applyNumberFormat="1" applyFont="1" applyBorder="1" applyAlignment="1">
      <alignment/>
    </xf>
    <xf numFmtId="167" fontId="0" fillId="0" borderId="0" xfId="0" applyNumberFormat="1" applyAlignment="1">
      <alignment/>
    </xf>
    <xf numFmtId="167" fontId="0" fillId="20" borderId="0" xfId="42" applyNumberFormat="1" applyFont="1" applyFill="1" applyAlignment="1">
      <alignment/>
    </xf>
    <xf numFmtId="167" fontId="0" fillId="20" borderId="0" xfId="0" applyNumberFormat="1" applyFill="1" applyAlignment="1">
      <alignment/>
    </xf>
    <xf numFmtId="167" fontId="0" fillId="0" borderId="10" xfId="0" applyNumberFormat="1" applyBorder="1" applyAlignment="1">
      <alignment/>
    </xf>
    <xf numFmtId="167" fontId="0" fillId="0" borderId="0" xfId="42" applyNumberFormat="1" applyFont="1" applyAlignment="1">
      <alignment/>
    </xf>
    <xf numFmtId="43" fontId="0" fillId="0" borderId="0" xfId="42" applyFont="1" applyAlignment="1">
      <alignment/>
    </xf>
    <xf numFmtId="167" fontId="0" fillId="0" borderId="10" xfId="42" applyNumberFormat="1" applyFont="1" applyBorder="1" applyAlignment="1">
      <alignment/>
    </xf>
    <xf numFmtId="43" fontId="0" fillId="0" borderId="10" xfId="42" applyFont="1" applyBorder="1" applyAlignment="1">
      <alignment/>
    </xf>
    <xf numFmtId="9" fontId="0" fillId="0" borderId="0" xfId="59" applyFont="1" applyAlignment="1">
      <alignment/>
    </xf>
    <xf numFmtId="167" fontId="0" fillId="20" borderId="0" xfId="42" applyNumberFormat="1" applyFont="1" applyFill="1" applyAlignment="1">
      <alignment/>
    </xf>
    <xf numFmtId="43" fontId="0" fillId="0" borderId="0" xfId="42" applyFont="1" applyFill="1" applyAlignment="1">
      <alignment/>
    </xf>
    <xf numFmtId="43" fontId="0" fillId="24" borderId="0" xfId="42" applyFont="1" applyFill="1" applyAlignment="1">
      <alignment/>
    </xf>
    <xf numFmtId="43" fontId="0" fillId="24" borderId="10" xfId="42" applyFont="1" applyFill="1" applyBorder="1" applyAlignment="1">
      <alignment/>
    </xf>
    <xf numFmtId="167" fontId="0" fillId="24" borderId="0" xfId="42" applyNumberFormat="1" applyFont="1" applyFill="1" applyAlignment="1">
      <alignment/>
    </xf>
    <xf numFmtId="43" fontId="0" fillId="0" borderId="0" xfId="42" applyFont="1" applyFill="1" applyBorder="1" applyAlignment="1">
      <alignment/>
    </xf>
    <xf numFmtId="0" fontId="0" fillId="0" borderId="0" xfId="0" applyAlignment="1" quotePrefix="1">
      <alignment/>
    </xf>
    <xf numFmtId="0" fontId="0" fillId="0" borderId="0" xfId="0" applyFill="1" applyAlignment="1">
      <alignment/>
    </xf>
    <xf numFmtId="0" fontId="0" fillId="0" borderId="0" xfId="0" applyFill="1" applyAlignment="1">
      <alignment horizontal="right"/>
    </xf>
    <xf numFmtId="167" fontId="0" fillId="0" borderId="0" xfId="0" applyNumberFormat="1" applyFill="1" applyAlignment="1">
      <alignment/>
    </xf>
    <xf numFmtId="167" fontId="0" fillId="0" borderId="0" xfId="42" applyNumberFormat="1" applyFont="1" applyFill="1" applyAlignment="1">
      <alignment/>
    </xf>
    <xf numFmtId="167" fontId="0" fillId="0" borderId="10" xfId="42" applyNumberFormat="1" applyFont="1" applyFill="1" applyBorder="1" applyAlignment="1">
      <alignment/>
    </xf>
    <xf numFmtId="43" fontId="0" fillId="0" borderId="10" xfId="0" applyNumberFormat="1" applyBorder="1" applyAlignment="1">
      <alignment/>
    </xf>
    <xf numFmtId="167" fontId="0" fillId="0" borderId="0" xfId="0" applyNumberFormat="1" applyAlignment="1">
      <alignment horizontal="left" indent="1"/>
    </xf>
    <xf numFmtId="43" fontId="0" fillId="0" borderId="10" xfId="42" applyFont="1" applyFill="1" applyBorder="1" applyAlignment="1">
      <alignment/>
    </xf>
    <xf numFmtId="0" fontId="0" fillId="0" borderId="0" xfId="0" applyFill="1" applyAlignment="1" quotePrefix="1">
      <alignment/>
    </xf>
    <xf numFmtId="168" fontId="0" fillId="0" borderId="0" xfId="0" applyNumberFormat="1" applyAlignment="1">
      <alignment/>
    </xf>
    <xf numFmtId="168" fontId="0" fillId="0" borderId="10" xfId="0" applyNumberFormat="1" applyBorder="1" applyAlignment="1">
      <alignment/>
    </xf>
    <xf numFmtId="43" fontId="0" fillId="0" borderId="0" xfId="42" applyNumberFormat="1" applyFont="1" applyAlignment="1">
      <alignment/>
    </xf>
    <xf numFmtId="43" fontId="0" fillId="0" borderId="10" xfId="42" applyNumberFormat="1" applyFont="1" applyBorder="1" applyAlignment="1">
      <alignment/>
    </xf>
    <xf numFmtId="43" fontId="0" fillId="20" borderId="0" xfId="42" applyNumberFormat="1" applyFont="1" applyFill="1" applyAlignment="1">
      <alignment/>
    </xf>
    <xf numFmtId="167" fontId="0" fillId="0" borderId="0" xfId="42" applyNumberFormat="1" applyFont="1" applyAlignment="1">
      <alignment horizontal="right"/>
    </xf>
    <xf numFmtId="0" fontId="0" fillId="0" borderId="0" xfId="0" applyAlignment="1">
      <alignment horizontal="left"/>
    </xf>
    <xf numFmtId="0" fontId="0" fillId="0" borderId="11" xfId="0" applyBorder="1" applyAlignment="1">
      <alignment horizontal="right"/>
    </xf>
    <xf numFmtId="0" fontId="0" fillId="0" borderId="11" xfId="0" applyBorder="1" applyAlignment="1">
      <alignment/>
    </xf>
    <xf numFmtId="43" fontId="0" fillId="0" borderId="11" xfId="42" applyFont="1" applyBorder="1" applyAlignment="1">
      <alignment/>
    </xf>
    <xf numFmtId="43" fontId="0" fillId="0" borderId="12" xfId="42" applyFont="1" applyBorder="1" applyAlignment="1">
      <alignment/>
    </xf>
    <xf numFmtId="0" fontId="0" fillId="0" borderId="10" xfId="0" applyBorder="1" applyAlignment="1">
      <alignment/>
    </xf>
    <xf numFmtId="167" fontId="0" fillId="0" borderId="0" xfId="42" applyNumberFormat="1" applyFont="1" applyAlignment="1">
      <alignment horizontal="right"/>
    </xf>
    <xf numFmtId="43" fontId="0" fillId="0" borderId="0" xfId="42" applyNumberFormat="1" applyFont="1" applyAlignment="1">
      <alignment/>
    </xf>
    <xf numFmtId="43" fontId="0" fillId="0" borderId="0" xfId="42" applyNumberFormat="1" applyFont="1" applyAlignment="1">
      <alignment horizontal="right"/>
    </xf>
    <xf numFmtId="0" fontId="3" fillId="0" borderId="0" xfId="0" applyFont="1" applyAlignment="1">
      <alignment/>
    </xf>
    <xf numFmtId="0" fontId="3" fillId="0" borderId="0" xfId="0" applyFont="1" applyAlignment="1">
      <alignment horizontal="right"/>
    </xf>
    <xf numFmtId="168" fontId="0" fillId="0" borderId="0" xfId="42" applyNumberFormat="1" applyFont="1" applyAlignment="1">
      <alignment/>
    </xf>
    <xf numFmtId="168" fontId="0" fillId="0" borderId="0" xfId="0" applyNumberFormat="1" applyFill="1" applyAlignment="1">
      <alignment/>
    </xf>
    <xf numFmtId="169" fontId="0" fillId="0" borderId="0" xfId="0" applyNumberFormat="1" applyAlignment="1">
      <alignment/>
    </xf>
    <xf numFmtId="169" fontId="0" fillId="0" borderId="10" xfId="0" applyNumberFormat="1" applyBorder="1" applyAlignment="1">
      <alignment/>
    </xf>
    <xf numFmtId="169" fontId="3" fillId="0" borderId="0" xfId="0" applyNumberFormat="1" applyFont="1" applyAlignment="1">
      <alignment/>
    </xf>
    <xf numFmtId="171" fontId="0" fillId="0" borderId="0" xfId="0" applyNumberFormat="1" applyAlignment="1">
      <alignment/>
    </xf>
    <xf numFmtId="172" fontId="0" fillId="0" borderId="0" xfId="0" applyNumberFormat="1" applyAlignment="1">
      <alignment/>
    </xf>
    <xf numFmtId="172" fontId="0" fillId="0" borderId="10" xfId="0" applyNumberFormat="1" applyBorder="1" applyAlignment="1">
      <alignment/>
    </xf>
    <xf numFmtId="0" fontId="4" fillId="0" borderId="0" xfId="0" applyFont="1" applyAlignment="1">
      <alignment/>
    </xf>
    <xf numFmtId="0" fontId="0" fillId="20" borderId="0" xfId="0" applyFill="1" applyAlignment="1">
      <alignment/>
    </xf>
    <xf numFmtId="0" fontId="0" fillId="0" borderId="13" xfId="0" applyBorder="1" applyAlignment="1">
      <alignment/>
    </xf>
    <xf numFmtId="44" fontId="0" fillId="0" borderId="0" xfId="44" applyFont="1" applyAlignment="1">
      <alignment/>
    </xf>
    <xf numFmtId="44" fontId="0" fillId="0" borderId="10" xfId="44" applyFont="1" applyBorder="1" applyAlignment="1">
      <alignment/>
    </xf>
    <xf numFmtId="44" fontId="0" fillId="0" borderId="0" xfId="0" applyNumberFormat="1" applyAlignment="1">
      <alignment/>
    </xf>
    <xf numFmtId="0" fontId="0" fillId="0" borderId="0" xfId="0" applyBorder="1" applyAlignment="1">
      <alignment/>
    </xf>
    <xf numFmtId="2" fontId="0" fillId="0" borderId="0" xfId="0" applyNumberFormat="1" applyAlignment="1">
      <alignment horizontal="right"/>
    </xf>
    <xf numFmtId="0" fontId="0" fillId="0" borderId="0" xfId="0" applyFill="1" applyBorder="1" applyAlignment="1">
      <alignment horizontal="right"/>
    </xf>
    <xf numFmtId="173" fontId="0" fillId="0" borderId="0" xfId="42" applyNumberFormat="1" applyFont="1" applyFill="1" applyBorder="1" applyAlignment="1">
      <alignment horizontal="right"/>
    </xf>
    <xf numFmtId="43" fontId="0" fillId="0" borderId="10" xfId="0" applyNumberFormat="1" applyBorder="1" applyAlignment="1">
      <alignment horizontal="right"/>
    </xf>
    <xf numFmtId="0" fontId="0" fillId="0" borderId="10" xfId="0" applyBorder="1" applyAlignment="1">
      <alignment horizontal="right"/>
    </xf>
    <xf numFmtId="173" fontId="0" fillId="0" borderId="0" xfId="42" applyNumberFormat="1" applyFont="1" applyAlignment="1">
      <alignment horizontal="right"/>
    </xf>
    <xf numFmtId="173" fontId="0" fillId="21" borderId="0" xfId="42" applyNumberFormat="1" applyFont="1" applyFill="1" applyAlignment="1">
      <alignment horizontal="right"/>
    </xf>
    <xf numFmtId="173" fontId="0" fillId="0" borderId="0" xfId="42" applyNumberFormat="1" applyFont="1" applyBorder="1" applyAlignment="1">
      <alignment horizontal="right"/>
    </xf>
    <xf numFmtId="0" fontId="0" fillId="0" borderId="0" xfId="0" applyBorder="1" applyAlignment="1">
      <alignment horizontal="right"/>
    </xf>
    <xf numFmtId="165" fontId="0" fillId="21" borderId="0" xfId="42" applyNumberFormat="1" applyFont="1" applyFill="1" applyAlignment="1">
      <alignment horizontal="right"/>
    </xf>
    <xf numFmtId="0" fontId="0" fillId="0" borderId="14" xfId="0" applyBorder="1" applyAlignment="1">
      <alignment/>
    </xf>
    <xf numFmtId="167" fontId="0" fillId="0" borderId="14" xfId="42" applyNumberFormat="1" applyFont="1" applyBorder="1" applyAlignment="1">
      <alignment horizontal="right"/>
    </xf>
    <xf numFmtId="173" fontId="0" fillId="0" borderId="14" xfId="42" applyNumberFormat="1" applyFont="1" applyBorder="1" applyAlignment="1">
      <alignment horizontal="right"/>
    </xf>
    <xf numFmtId="0" fontId="0" fillId="0" borderId="14" xfId="0" applyBorder="1" applyAlignment="1">
      <alignment horizontal="right"/>
    </xf>
    <xf numFmtId="2" fontId="0" fillId="0" borderId="10" xfId="0" applyNumberFormat="1" applyBorder="1" applyAlignment="1">
      <alignment horizontal="right"/>
    </xf>
    <xf numFmtId="173" fontId="0" fillId="0" borderId="14" xfId="0" applyNumberFormat="1" applyBorder="1" applyAlignment="1">
      <alignment/>
    </xf>
    <xf numFmtId="173" fontId="0" fillId="0" borderId="0" xfId="0" applyNumberFormat="1" applyAlignment="1">
      <alignment/>
    </xf>
    <xf numFmtId="173" fontId="0" fillId="0" borderId="10" xfId="0" applyNumberFormat="1" applyBorder="1" applyAlignment="1">
      <alignment/>
    </xf>
    <xf numFmtId="167" fontId="0" fillId="0" borderId="0" xfId="0" applyNumberFormat="1" applyBorder="1" applyAlignment="1">
      <alignment horizontal="right"/>
    </xf>
    <xf numFmtId="0" fontId="0" fillId="0" borderId="0" xfId="0" applyAlignment="1">
      <alignment horizontal="right" indent="1"/>
    </xf>
    <xf numFmtId="166" fontId="0" fillId="0" borderId="0" xfId="42" applyNumberFormat="1" applyFont="1" applyAlignment="1">
      <alignment horizontal="right"/>
    </xf>
    <xf numFmtId="175" fontId="0" fillId="0" borderId="0" xfId="0" applyNumberFormat="1" applyBorder="1" applyAlignment="1">
      <alignment horizontal="right"/>
    </xf>
    <xf numFmtId="175" fontId="0" fillId="0" borderId="0" xfId="0" applyNumberFormat="1" applyAlignment="1">
      <alignment/>
    </xf>
    <xf numFmtId="0" fontId="6" fillId="0" borderId="0" xfId="0" applyFont="1" applyAlignment="1">
      <alignment/>
    </xf>
    <xf numFmtId="0" fontId="6" fillId="0" borderId="0" xfId="0" applyFont="1" applyAlignment="1">
      <alignment horizontal="right"/>
    </xf>
    <xf numFmtId="0" fontId="6" fillId="0" borderId="0" xfId="0" applyFont="1" applyAlignment="1" quotePrefix="1">
      <alignment horizontal="right"/>
    </xf>
    <xf numFmtId="174" fontId="0" fillId="0" borderId="0" xfId="42" applyNumberFormat="1" applyFont="1" applyAlignment="1">
      <alignment horizontal="right"/>
    </xf>
    <xf numFmtId="0" fontId="0" fillId="0" borderId="0" xfId="0" applyFont="1" applyAlignment="1">
      <alignment/>
    </xf>
    <xf numFmtId="174" fontId="0" fillId="0" borderId="0" xfId="42" applyNumberFormat="1" applyFont="1" applyBorder="1" applyAlignment="1">
      <alignment horizontal="right"/>
    </xf>
    <xf numFmtId="0" fontId="0" fillId="0" borderId="0" xfId="0" applyAlignment="1" quotePrefix="1">
      <alignment horizontal="right"/>
    </xf>
    <xf numFmtId="174" fontId="0" fillId="0" borderId="0" xfId="42" applyNumberFormat="1" applyFont="1" applyFill="1" applyBorder="1" applyAlignment="1">
      <alignment horizontal="right"/>
    </xf>
    <xf numFmtId="173" fontId="0" fillId="0" borderId="0" xfId="42" applyNumberFormat="1" applyFont="1" applyAlignment="1">
      <alignment/>
    </xf>
    <xf numFmtId="174" fontId="0" fillId="0" borderId="0" xfId="42" applyNumberFormat="1" applyFont="1" applyAlignment="1">
      <alignment/>
    </xf>
    <xf numFmtId="173" fontId="6" fillId="0" borderId="0" xfId="0" applyNumberFormat="1" applyFont="1" applyAlignment="1">
      <alignment/>
    </xf>
    <xf numFmtId="0" fontId="0" fillId="0" borderId="10" xfId="0" applyFont="1" applyBorder="1" applyAlignment="1">
      <alignment/>
    </xf>
    <xf numFmtId="0" fontId="0" fillId="0" borderId="10" xfId="0" applyBorder="1" applyAlignment="1" quotePrefix="1">
      <alignment horizontal="right"/>
    </xf>
    <xf numFmtId="173" fontId="0" fillId="0" borderId="10" xfId="42" applyNumberFormat="1" applyFont="1" applyBorder="1" applyAlignment="1">
      <alignment horizontal="right"/>
    </xf>
    <xf numFmtId="174" fontId="0" fillId="0" borderId="10" xfId="42" applyNumberFormat="1" applyFont="1" applyBorder="1" applyAlignment="1">
      <alignment horizontal="right"/>
    </xf>
    <xf numFmtId="0" fontId="0" fillId="0" borderId="0" xfId="0" applyFont="1" applyAlignment="1">
      <alignment/>
    </xf>
    <xf numFmtId="0" fontId="5" fillId="0" borderId="0" xfId="0" applyFont="1" applyAlignment="1">
      <alignment/>
    </xf>
    <xf numFmtId="43" fontId="0" fillId="0" borderId="0" xfId="42" applyFont="1" applyAlignment="1">
      <alignment/>
    </xf>
    <xf numFmtId="176" fontId="0" fillId="0" borderId="0" xfId="42" applyNumberFormat="1" applyFont="1" applyAlignment="1">
      <alignment/>
    </xf>
    <xf numFmtId="176" fontId="0" fillId="0" borderId="10" xfId="42" applyNumberFormat="1" applyFont="1" applyBorder="1" applyAlignment="1">
      <alignment/>
    </xf>
    <xf numFmtId="173" fontId="0" fillId="0" borderId="0" xfId="42" applyNumberFormat="1" applyFont="1" applyBorder="1" applyAlignment="1">
      <alignment/>
    </xf>
    <xf numFmtId="9" fontId="0" fillId="0" borderId="0" xfId="0" applyNumberFormat="1" applyAlignment="1">
      <alignment horizontal="right"/>
    </xf>
    <xf numFmtId="167" fontId="0" fillId="0" borderId="0" xfId="0" applyNumberFormat="1" applyAlignment="1">
      <alignment horizontal="right"/>
    </xf>
    <xf numFmtId="167" fontId="0" fillId="0" borderId="0" xfId="0" applyNumberFormat="1" applyFont="1" applyAlignment="1">
      <alignment horizontal="right"/>
    </xf>
    <xf numFmtId="167" fontId="0" fillId="0" borderId="0" xfId="0" applyNumberFormat="1" applyFont="1" applyAlignment="1">
      <alignment/>
    </xf>
    <xf numFmtId="0" fontId="0" fillId="0" borderId="0" xfId="0" applyFont="1" applyAlignment="1" quotePrefix="1">
      <alignment/>
    </xf>
    <xf numFmtId="0" fontId="0" fillId="0" borderId="0" xfId="0" applyFont="1" applyAlignment="1">
      <alignment horizontal="right"/>
    </xf>
    <xf numFmtId="167" fontId="0" fillId="0" borderId="0" xfId="42" applyNumberFormat="1" applyFont="1" applyAlignment="1" quotePrefix="1">
      <alignment horizontal="right"/>
    </xf>
    <xf numFmtId="43" fontId="0" fillId="0" borderId="0" xfId="42" applyNumberFormat="1" applyFont="1" applyFill="1" applyAlignment="1">
      <alignment/>
    </xf>
    <xf numFmtId="170" fontId="0" fillId="0" borderId="0" xfId="0" applyNumberFormat="1" applyFill="1" applyAlignment="1">
      <alignment/>
    </xf>
    <xf numFmtId="171" fontId="0" fillId="0" borderId="0" xfId="0" applyNumberFormat="1" applyFill="1" applyAlignment="1">
      <alignment/>
    </xf>
    <xf numFmtId="0" fontId="1" fillId="0" borderId="0" xfId="56">
      <alignment/>
      <protection/>
    </xf>
    <xf numFmtId="0" fontId="10" fillId="0" borderId="0" xfId="56" applyFont="1">
      <alignment/>
      <protection/>
    </xf>
    <xf numFmtId="164" fontId="10" fillId="0" borderId="0" xfId="46" applyFont="1" applyAlignment="1">
      <alignment/>
    </xf>
    <xf numFmtId="164" fontId="10" fillId="10" borderId="0" xfId="46" applyFont="1" applyFill="1" applyAlignment="1">
      <alignment/>
    </xf>
    <xf numFmtId="0" fontId="11" fillId="0" borderId="0" xfId="56" applyFont="1">
      <alignment/>
      <protection/>
    </xf>
    <xf numFmtId="10" fontId="10" fillId="10" borderId="0" xfId="60" applyNumberFormat="1" applyFont="1" applyFill="1" applyAlignment="1">
      <alignment/>
    </xf>
    <xf numFmtId="10" fontId="10" fillId="0" borderId="0" xfId="60" applyNumberFormat="1" applyFont="1" applyAlignment="1">
      <alignment/>
    </xf>
    <xf numFmtId="0" fontId="10" fillId="10" borderId="0" xfId="56" applyFont="1" applyFill="1">
      <alignment/>
      <protection/>
    </xf>
    <xf numFmtId="2" fontId="10" fillId="10" borderId="0" xfId="56" applyNumberFormat="1" applyFont="1" applyFill="1">
      <alignment/>
      <protection/>
    </xf>
    <xf numFmtId="0" fontId="12" fillId="0" borderId="0" xfId="56" applyFont="1">
      <alignment/>
      <protection/>
    </xf>
    <xf numFmtId="0" fontId="13" fillId="0" borderId="0" xfId="56" applyFont="1">
      <alignment/>
      <protection/>
    </xf>
    <xf numFmtId="0" fontId="14" fillId="0" borderId="0" xfId="56" applyFont="1">
      <alignment/>
      <protection/>
    </xf>
    <xf numFmtId="0" fontId="15" fillId="0" borderId="0" xfId="56" applyFont="1">
      <alignment/>
      <protection/>
    </xf>
    <xf numFmtId="0" fontId="1" fillId="0" borderId="15" xfId="56" applyBorder="1">
      <alignment/>
      <protection/>
    </xf>
    <xf numFmtId="0" fontId="1" fillId="0" borderId="16" xfId="56" applyBorder="1">
      <alignment/>
      <protection/>
    </xf>
    <xf numFmtId="0" fontId="1" fillId="0" borderId="17" xfId="56" applyBorder="1">
      <alignment/>
      <protection/>
    </xf>
    <xf numFmtId="0" fontId="1" fillId="0" borderId="18" xfId="56" applyBorder="1">
      <alignment/>
      <protection/>
    </xf>
    <xf numFmtId="0" fontId="1" fillId="0" borderId="15" xfId="56" applyBorder="1" applyAlignment="1">
      <alignment wrapText="1"/>
      <protection/>
    </xf>
    <xf numFmtId="0" fontId="1" fillId="4" borderId="19" xfId="56" applyFill="1" applyBorder="1" applyAlignment="1">
      <alignment wrapText="1"/>
      <protection/>
    </xf>
    <xf numFmtId="0" fontId="1" fillId="4" borderId="20" xfId="56" applyFill="1" applyBorder="1" applyAlignment="1">
      <alignment wrapText="1"/>
      <protection/>
    </xf>
    <xf numFmtId="0" fontId="1" fillId="2" borderId="21" xfId="56" applyFill="1" applyBorder="1" applyAlignment="1">
      <alignment wrapText="1"/>
      <protection/>
    </xf>
    <xf numFmtId="0" fontId="1" fillId="2" borderId="22" xfId="56" applyFill="1" applyBorder="1" applyAlignment="1">
      <alignment wrapText="1"/>
      <protection/>
    </xf>
    <xf numFmtId="0" fontId="1" fillId="2" borderId="23" xfId="56" applyFill="1" applyBorder="1" applyAlignment="1">
      <alignment wrapText="1"/>
      <protection/>
    </xf>
    <xf numFmtId="0" fontId="1" fillId="2" borderId="20" xfId="56" applyFill="1" applyBorder="1" applyAlignment="1">
      <alignment wrapText="1"/>
      <protection/>
    </xf>
    <xf numFmtId="0" fontId="1" fillId="11" borderId="19" xfId="56" applyFill="1" applyBorder="1" applyAlignment="1">
      <alignment wrapText="1"/>
      <protection/>
    </xf>
    <xf numFmtId="0" fontId="1" fillId="11" borderId="20" xfId="56" applyFill="1" applyBorder="1" applyAlignment="1">
      <alignment wrapText="1"/>
      <protection/>
    </xf>
    <xf numFmtId="0" fontId="1" fillId="0" borderId="24" xfId="56" applyBorder="1">
      <alignment/>
      <protection/>
    </xf>
    <xf numFmtId="0" fontId="1" fillId="0" borderId="25" xfId="56" applyBorder="1" applyAlignment="1">
      <alignment wrapText="1"/>
      <protection/>
    </xf>
    <xf numFmtId="177" fontId="1" fillId="4" borderId="26" xfId="56" applyNumberFormat="1" applyFill="1" applyBorder="1">
      <alignment/>
      <protection/>
    </xf>
    <xf numFmtId="177" fontId="1" fillId="4" borderId="27" xfId="56" applyNumberFormat="1" applyFill="1" applyBorder="1">
      <alignment/>
      <protection/>
    </xf>
    <xf numFmtId="177" fontId="1" fillId="2" borderId="26" xfId="56" applyNumberFormat="1" applyFill="1" applyBorder="1">
      <alignment/>
      <protection/>
    </xf>
    <xf numFmtId="177" fontId="1" fillId="2" borderId="24" xfId="56" applyNumberFormat="1" applyFill="1" applyBorder="1">
      <alignment/>
      <protection/>
    </xf>
    <xf numFmtId="177" fontId="1" fillId="2" borderId="27" xfId="56" applyNumberFormat="1" applyFill="1" applyBorder="1">
      <alignment/>
      <protection/>
    </xf>
    <xf numFmtId="177" fontId="1" fillId="11" borderId="26" xfId="56" applyNumberFormat="1" applyFill="1" applyBorder="1">
      <alignment/>
      <protection/>
    </xf>
    <xf numFmtId="177" fontId="1" fillId="11" borderId="27" xfId="56" applyNumberFormat="1" applyFill="1" applyBorder="1">
      <alignment/>
      <protection/>
    </xf>
    <xf numFmtId="0" fontId="1" fillId="0" borderId="13" xfId="56" applyFill="1" applyBorder="1" applyAlignment="1">
      <alignment wrapText="1"/>
      <protection/>
    </xf>
    <xf numFmtId="177" fontId="1" fillId="4" borderId="28" xfId="56" applyNumberFormat="1" applyFill="1" applyBorder="1">
      <alignment/>
      <protection/>
    </xf>
    <xf numFmtId="177" fontId="1" fillId="4" borderId="29" xfId="56" applyNumberFormat="1" applyFill="1" applyBorder="1">
      <alignment/>
      <protection/>
    </xf>
    <xf numFmtId="177" fontId="1" fillId="2" borderId="28" xfId="56" applyNumberFormat="1" applyFill="1" applyBorder="1">
      <alignment/>
      <protection/>
    </xf>
    <xf numFmtId="177" fontId="1" fillId="2" borderId="30" xfId="56" applyNumberFormat="1" applyFill="1" applyBorder="1">
      <alignment/>
      <protection/>
    </xf>
    <xf numFmtId="177" fontId="1" fillId="2" borderId="29" xfId="56" applyNumberFormat="1" applyFill="1" applyBorder="1">
      <alignment/>
      <protection/>
    </xf>
    <xf numFmtId="177" fontId="1" fillId="11" borderId="28" xfId="56" applyNumberFormat="1" applyFill="1" applyBorder="1">
      <alignment/>
      <protection/>
    </xf>
    <xf numFmtId="177" fontId="1" fillId="11" borderId="29" xfId="56" applyNumberFormat="1" applyFill="1" applyBorder="1">
      <alignment/>
      <protection/>
    </xf>
    <xf numFmtId="0" fontId="10" fillId="0" borderId="13" xfId="56" applyFont="1" applyFill="1" applyBorder="1" applyAlignment="1">
      <alignment wrapText="1"/>
      <protection/>
    </xf>
    <xf numFmtId="177" fontId="10" fillId="0" borderId="0" xfId="56" applyNumberFormat="1" applyFont="1">
      <alignment/>
      <protection/>
    </xf>
    <xf numFmtId="0" fontId="10" fillId="21" borderId="0" xfId="56" applyFont="1" applyFill="1">
      <alignment/>
      <protection/>
    </xf>
    <xf numFmtId="177" fontId="10" fillId="21" borderId="0" xfId="56" applyNumberFormat="1" applyFont="1" applyFill="1">
      <alignment/>
      <protection/>
    </xf>
    <xf numFmtId="0" fontId="10" fillId="0" borderId="0" xfId="56" applyFont="1" applyFill="1" applyBorder="1" applyAlignment="1">
      <alignment horizontal="right" wrapText="1"/>
      <protection/>
    </xf>
    <xf numFmtId="177" fontId="16" fillId="4" borderId="0" xfId="48" applyNumberFormat="1" applyFont="1" applyAlignment="1">
      <alignment/>
    </xf>
    <xf numFmtId="0" fontId="10" fillId="0" borderId="21" xfId="56" applyFont="1" applyBorder="1">
      <alignment/>
      <protection/>
    </xf>
    <xf numFmtId="177" fontId="10" fillId="0" borderId="31" xfId="56" applyNumberFormat="1" applyFont="1" applyBorder="1">
      <alignment/>
      <protection/>
    </xf>
    <xf numFmtId="0" fontId="17" fillId="0" borderId="0" xfId="47" applyFont="1" applyFill="1" applyBorder="1" applyAlignment="1">
      <alignment wrapText="1"/>
    </xf>
    <xf numFmtId="164" fontId="17" fillId="0" borderId="0" xfId="47" applyNumberFormat="1" applyFont="1" applyAlignment="1">
      <alignment/>
    </xf>
    <xf numFmtId="0" fontId="17" fillId="0" borderId="0" xfId="47" applyFont="1" applyAlignment="1">
      <alignment/>
    </xf>
    <xf numFmtId="0" fontId="10" fillId="0" borderId="32" xfId="56" applyFont="1" applyBorder="1">
      <alignment/>
      <protection/>
    </xf>
    <xf numFmtId="177" fontId="10" fillId="0" borderId="33" xfId="56" applyNumberFormat="1" applyFont="1" applyBorder="1">
      <alignment/>
      <protection/>
    </xf>
    <xf numFmtId="0" fontId="10" fillId="0" borderId="34" xfId="56" applyFont="1" applyBorder="1">
      <alignment/>
      <protection/>
    </xf>
    <xf numFmtId="177" fontId="10" fillId="0" borderId="35" xfId="56" applyNumberFormat="1" applyFont="1" applyBorder="1">
      <alignment/>
      <protection/>
    </xf>
    <xf numFmtId="0" fontId="10" fillId="0" borderId="0" xfId="56" applyFont="1" applyFill="1" applyBorder="1" applyAlignment="1">
      <alignment wrapText="1"/>
      <protection/>
    </xf>
    <xf numFmtId="164" fontId="10" fillId="0" borderId="0" xfId="56" applyNumberFormat="1" applyFont="1">
      <alignment/>
      <protection/>
    </xf>
    <xf numFmtId="0" fontId="10" fillId="21" borderId="21" xfId="56" applyFont="1" applyFill="1" applyBorder="1" applyAlignment="1">
      <alignment wrapText="1"/>
      <protection/>
    </xf>
    <xf numFmtId="177" fontId="10" fillId="21" borderId="31" xfId="56" applyNumberFormat="1" applyFont="1" applyFill="1" applyBorder="1">
      <alignment/>
      <protection/>
    </xf>
    <xf numFmtId="0" fontId="10" fillId="0" borderId="32" xfId="56" applyFont="1" applyFill="1" applyBorder="1" applyAlignment="1">
      <alignment wrapText="1"/>
      <protection/>
    </xf>
    <xf numFmtId="0" fontId="18" fillId="0" borderId="0" xfId="56" applyFont="1" applyAlignment="1">
      <alignment vertical="center" wrapText="1"/>
      <protection/>
    </xf>
    <xf numFmtId="0" fontId="6" fillId="0" borderId="0" xfId="56" applyFont="1">
      <alignment/>
      <protection/>
    </xf>
    <xf numFmtId="178" fontId="1" fillId="0" borderId="0" xfId="56" applyNumberFormat="1">
      <alignment/>
      <protection/>
    </xf>
    <xf numFmtId="177" fontId="1" fillId="0" borderId="0" xfId="56" applyNumberFormat="1">
      <alignment/>
      <protection/>
    </xf>
    <xf numFmtId="0" fontId="19" fillId="0" borderId="0" xfId="56" applyFont="1" applyAlignment="1">
      <alignment vertical="center"/>
      <protection/>
    </xf>
    <xf numFmtId="177" fontId="8" fillId="3" borderId="0" xfId="39" applyNumberFormat="1" applyAlignment="1">
      <alignment/>
    </xf>
    <xf numFmtId="0" fontId="20" fillId="0" borderId="0" xfId="56" applyFont="1" applyAlignment="1">
      <alignment vertical="center"/>
      <protection/>
    </xf>
    <xf numFmtId="177" fontId="7" fillId="4" borderId="0" xfId="48" applyNumberFormat="1" applyAlignment="1">
      <alignment/>
    </xf>
    <xf numFmtId="0" fontId="6" fillId="0" borderId="0" xfId="56" applyFont="1" applyAlignment="1">
      <alignment vertical="center"/>
      <protection/>
    </xf>
    <xf numFmtId="0" fontId="1" fillId="0" borderId="0" xfId="56" applyFont="1" applyAlignment="1">
      <alignment vertical="center"/>
      <protection/>
    </xf>
    <xf numFmtId="0" fontId="21" fillId="0" borderId="0" xfId="56" applyFont="1" applyAlignment="1">
      <alignment vertical="center"/>
      <protection/>
    </xf>
    <xf numFmtId="0" fontId="22" fillId="0" borderId="0" xfId="56" applyFont="1">
      <alignment/>
      <protection/>
    </xf>
    <xf numFmtId="0" fontId="10" fillId="0" borderId="0" xfId="56" applyFont="1" applyFill="1" applyBorder="1" applyAlignment="1">
      <alignment vertical="top"/>
      <protection/>
    </xf>
    <xf numFmtId="164" fontId="10" fillId="0" borderId="0" xfId="46" applyFont="1" applyAlignment="1">
      <alignment horizontal="right"/>
    </xf>
    <xf numFmtId="0" fontId="10" fillId="10" borderId="0" xfId="56" applyFont="1" applyFill="1" applyBorder="1" applyAlignment="1">
      <alignment vertical="top"/>
      <protection/>
    </xf>
    <xf numFmtId="0" fontId="1" fillId="10" borderId="0" xfId="56" applyFill="1">
      <alignment/>
      <protection/>
    </xf>
    <xf numFmtId="164" fontId="7" fillId="4" borderId="0" xfId="48" applyNumberFormat="1" applyAlignment="1">
      <alignment/>
    </xf>
    <xf numFmtId="164" fontId="1" fillId="0" borderId="0" xfId="56" applyNumberFormat="1">
      <alignment/>
      <protection/>
    </xf>
    <xf numFmtId="164" fontId="8" fillId="3" borderId="0" xfId="39" applyNumberFormat="1" applyAlignment="1">
      <alignment/>
    </xf>
    <xf numFmtId="44" fontId="4" fillId="0" borderId="0" xfId="44"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G23"/>
  <sheetViews>
    <sheetView zoomScalePageLayoutView="0" workbookViewId="0" topLeftCell="A1">
      <selection activeCell="A2" sqref="A2"/>
    </sheetView>
  </sheetViews>
  <sheetFormatPr defaultColWidth="9.00390625" defaultRowHeight="15.75"/>
  <cols>
    <col min="2" max="2" width="13.875" style="0" customWidth="1"/>
    <col min="3" max="3" width="11.00390625" style="0" customWidth="1"/>
    <col min="4" max="4" width="3.50390625" style="21" customWidth="1"/>
    <col min="5" max="5" width="11.875" style="0" bestFit="1" customWidth="1"/>
    <col min="6" max="6" width="8.25390625" style="0" customWidth="1"/>
    <col min="7" max="7" width="6.125" style="0" customWidth="1"/>
    <col min="8" max="8" width="5.125" style="0" customWidth="1"/>
  </cols>
  <sheetData>
    <row r="2" ht="15.75">
      <c r="B2" t="s">
        <v>33</v>
      </c>
    </row>
    <row r="3" spans="3:7" ht="15.75">
      <c r="C3" s="1" t="s">
        <v>3</v>
      </c>
      <c r="D3" s="22"/>
      <c r="E3" s="1" t="s">
        <v>2</v>
      </c>
      <c r="F3" s="1"/>
      <c r="G3" s="1"/>
    </row>
    <row r="4" spans="3:4" ht="15.75">
      <c r="C4" s="5"/>
      <c r="D4" s="23"/>
    </row>
    <row r="5" spans="2:6" ht="15.75">
      <c r="B5" t="s">
        <v>4</v>
      </c>
      <c r="C5" s="24">
        <f>+E5*C11</f>
        <v>200000</v>
      </c>
      <c r="D5" s="24"/>
      <c r="E5" s="15">
        <v>80</v>
      </c>
      <c r="F5" s="15"/>
    </row>
    <row r="6" spans="2:6" ht="15.75">
      <c r="B6" t="s">
        <v>5</v>
      </c>
      <c r="C6" s="25">
        <f>+E6*C11</f>
        <v>87500</v>
      </c>
      <c r="D6" s="25"/>
      <c r="E6" s="28">
        <v>35</v>
      </c>
      <c r="F6" s="19"/>
    </row>
    <row r="7" spans="2:7" ht="15.75">
      <c r="B7" t="s">
        <v>6</v>
      </c>
      <c r="C7" s="24">
        <f>+C5-C6</f>
        <v>112500</v>
      </c>
      <c r="D7" s="24"/>
      <c r="E7" s="15">
        <f>+E5-E6</f>
        <v>45</v>
      </c>
      <c r="F7" s="10"/>
      <c r="G7" s="13"/>
    </row>
    <row r="8" spans="2:5" ht="15.75">
      <c r="B8" t="s">
        <v>7</v>
      </c>
      <c r="C8" s="25">
        <v>87500</v>
      </c>
      <c r="D8" s="29"/>
      <c r="E8" s="21"/>
    </row>
    <row r="9" spans="2:5" ht="15.75">
      <c r="B9" t="s">
        <v>9</v>
      </c>
      <c r="C9" s="14">
        <f>+C7-C8</f>
        <v>25000</v>
      </c>
      <c r="D9" s="24"/>
      <c r="E9" s="21"/>
    </row>
    <row r="10" spans="3:5" ht="15.75">
      <c r="C10" s="21"/>
      <c r="E10" s="21"/>
    </row>
    <row r="11" spans="2:5" ht="15.75">
      <c r="B11" t="s">
        <v>11</v>
      </c>
      <c r="C11" s="24">
        <v>2500</v>
      </c>
      <c r="D11" s="24"/>
      <c r="E11" s="21" t="s">
        <v>8</v>
      </c>
    </row>
    <row r="13" ht="15.75">
      <c r="B13" t="s">
        <v>34</v>
      </c>
    </row>
    <row r="15" spans="2:5" ht="15.75">
      <c r="B15" t="s">
        <v>4</v>
      </c>
      <c r="C15" s="24"/>
      <c r="D15" s="24"/>
      <c r="E15" s="15"/>
    </row>
    <row r="16" spans="2:5" ht="15.75">
      <c r="B16" t="s">
        <v>5</v>
      </c>
      <c r="C16" s="25"/>
      <c r="D16" s="25"/>
      <c r="E16" s="28"/>
    </row>
    <row r="17" spans="2:5" ht="15.75">
      <c r="B17" t="s">
        <v>6</v>
      </c>
      <c r="C17" s="24">
        <f>+C21*E17</f>
        <v>123750.00000000001</v>
      </c>
      <c r="D17" s="24"/>
      <c r="E17" s="113">
        <f>+E7*1.1</f>
        <v>49.50000000000001</v>
      </c>
    </row>
    <row r="18" spans="2:5" ht="15.75">
      <c r="B18" t="s">
        <v>7</v>
      </c>
      <c r="C18" s="25">
        <f>+C8*0.95</f>
        <v>83125</v>
      </c>
      <c r="D18" s="29"/>
      <c r="E18" s="21"/>
    </row>
    <row r="19" spans="2:5" ht="15.75">
      <c r="B19" t="s">
        <v>9</v>
      </c>
      <c r="C19" s="14">
        <f>+C17-C18</f>
        <v>40625.000000000015</v>
      </c>
      <c r="D19" s="24"/>
      <c r="E19" s="21"/>
    </row>
    <row r="20" spans="3:5" ht="15.75">
      <c r="C20" s="21"/>
      <c r="E20" s="21"/>
    </row>
    <row r="21" spans="2:5" ht="15.75">
      <c r="B21" t="s">
        <v>11</v>
      </c>
      <c r="C21" s="24">
        <v>2500</v>
      </c>
      <c r="D21" s="24"/>
      <c r="E21" s="21" t="s">
        <v>8</v>
      </c>
    </row>
    <row r="23" ht="15.75">
      <c r="C23" s="5"/>
    </row>
  </sheetData>
  <sheetProtection/>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2:H25"/>
  <sheetViews>
    <sheetView zoomScalePageLayoutView="0" workbookViewId="0" topLeftCell="A1">
      <selection activeCell="A2" sqref="A2"/>
    </sheetView>
  </sheetViews>
  <sheetFormatPr defaultColWidth="9.00390625" defaultRowHeight="15.75"/>
  <cols>
    <col min="1" max="1" width="6.25390625" style="0" customWidth="1"/>
    <col min="2" max="2" width="7.125" style="0" customWidth="1"/>
  </cols>
  <sheetData>
    <row r="2" spans="5:7" ht="15.75">
      <c r="E2" s="1" t="s">
        <v>128</v>
      </c>
      <c r="F2" s="1" t="s">
        <v>129</v>
      </c>
      <c r="G2" s="1" t="s">
        <v>130</v>
      </c>
    </row>
    <row r="4" spans="2:7" ht="18" customHeight="1">
      <c r="B4" t="s">
        <v>131</v>
      </c>
      <c r="C4">
        <v>200000</v>
      </c>
      <c r="D4">
        <v>0.15</v>
      </c>
      <c r="E4" s="57"/>
      <c r="G4" s="38"/>
    </row>
    <row r="5" spans="4:7" ht="18" customHeight="1">
      <c r="D5">
        <v>0.65</v>
      </c>
      <c r="E5" s="57"/>
      <c r="G5" s="38"/>
    </row>
    <row r="6" spans="4:7" ht="18" customHeight="1">
      <c r="D6">
        <f>1-D5-D4</f>
        <v>0.19999999999999998</v>
      </c>
      <c r="E6" s="57">
        <f>+D6*C4</f>
        <v>40000</v>
      </c>
      <c r="G6" s="38"/>
    </row>
    <row r="7" spans="5:7" ht="18" customHeight="1">
      <c r="E7" s="57"/>
      <c r="G7" s="38"/>
    </row>
    <row r="8" spans="2:7" ht="18" customHeight="1">
      <c r="B8" t="s">
        <v>132</v>
      </c>
      <c r="C8">
        <v>240000</v>
      </c>
      <c r="D8">
        <v>0.15</v>
      </c>
      <c r="E8" s="57"/>
      <c r="G8" s="38"/>
    </row>
    <row r="9" spans="4:7" ht="18" customHeight="1">
      <c r="D9">
        <v>0.65</v>
      </c>
      <c r="E9" s="57">
        <f>+D9*C8</f>
        <v>156000</v>
      </c>
      <c r="G9" s="38"/>
    </row>
    <row r="10" spans="4:7" ht="18" customHeight="1">
      <c r="D10">
        <f>1-D9-D8</f>
        <v>0.19999999999999998</v>
      </c>
      <c r="E10" s="57"/>
      <c r="F10">
        <f>+D10*C8</f>
        <v>47999.99999999999</v>
      </c>
      <c r="G10" s="38"/>
    </row>
    <row r="11" spans="5:7" ht="18" customHeight="1">
      <c r="E11" s="57"/>
      <c r="G11" s="38"/>
    </row>
    <row r="12" spans="2:7" ht="18" customHeight="1">
      <c r="B12" t="s">
        <v>133</v>
      </c>
      <c r="C12">
        <v>300000</v>
      </c>
      <c r="D12">
        <v>0.15</v>
      </c>
      <c r="E12" s="57">
        <f>+D12*C12</f>
        <v>45000</v>
      </c>
      <c r="G12" s="38"/>
    </row>
    <row r="13" spans="4:7" ht="18" customHeight="1">
      <c r="D13">
        <v>0.65</v>
      </c>
      <c r="E13" s="57"/>
      <c r="F13">
        <f>+D13*C12</f>
        <v>195000</v>
      </c>
      <c r="G13" s="38"/>
    </row>
    <row r="14" spans="4:7" ht="18" customHeight="1">
      <c r="D14">
        <f>1-D13-D12</f>
        <v>0.19999999999999998</v>
      </c>
      <c r="E14" s="57"/>
      <c r="G14" s="38">
        <f>+D14*C12</f>
        <v>59999.99999999999</v>
      </c>
    </row>
    <row r="15" spans="5:7" ht="18" customHeight="1">
      <c r="E15" s="57"/>
      <c r="G15" s="38"/>
    </row>
    <row r="16" spans="2:7" ht="18" customHeight="1">
      <c r="B16" t="s">
        <v>129</v>
      </c>
      <c r="C16">
        <v>400000</v>
      </c>
      <c r="D16">
        <v>0.15</v>
      </c>
      <c r="E16" s="57"/>
      <c r="F16">
        <f>+D16*C16</f>
        <v>60000</v>
      </c>
      <c r="G16" s="38"/>
    </row>
    <row r="17" spans="4:8" ht="18" customHeight="1">
      <c r="D17">
        <v>0.65</v>
      </c>
      <c r="E17" s="57"/>
      <c r="G17" s="38">
        <f>+D17*C16</f>
        <v>260000</v>
      </c>
      <c r="H17">
        <f>+C16-G17-F16</f>
        <v>80000</v>
      </c>
    </row>
    <row r="18" spans="4:7" ht="18" customHeight="1">
      <c r="D18">
        <f>1-D17-D16</f>
        <v>0.19999999999999998</v>
      </c>
      <c r="E18" s="57"/>
      <c r="G18" s="38"/>
    </row>
    <row r="19" spans="5:7" ht="18" customHeight="1">
      <c r="E19" s="57"/>
      <c r="G19" s="38"/>
    </row>
    <row r="20" spans="2:8" ht="18" customHeight="1">
      <c r="B20" t="s">
        <v>130</v>
      </c>
      <c r="C20">
        <v>250000</v>
      </c>
      <c r="D20">
        <v>0.15</v>
      </c>
      <c r="E20" s="57"/>
      <c r="G20" s="38">
        <f>+D20*C20</f>
        <v>37500</v>
      </c>
      <c r="H20">
        <f>+C20-G20</f>
        <v>212500</v>
      </c>
    </row>
    <row r="21" spans="4:7" ht="18" customHeight="1">
      <c r="D21">
        <v>0.65</v>
      </c>
      <c r="E21" s="57"/>
      <c r="G21" s="38"/>
    </row>
    <row r="22" spans="4:7" ht="18" customHeight="1">
      <c r="D22">
        <f>1-D21-D20</f>
        <v>0.19999999999999998</v>
      </c>
      <c r="E22" s="57"/>
      <c r="G22" s="38"/>
    </row>
    <row r="23" spans="5:7" ht="18" customHeight="1">
      <c r="E23" s="57"/>
      <c r="G23" s="38"/>
    </row>
    <row r="24" spans="4:8" ht="18" customHeight="1">
      <c r="D24" s="56">
        <f>SUM(E24:G24)</f>
        <v>901500</v>
      </c>
      <c r="E24" s="57">
        <f>SUM(E4:E23)</f>
        <v>241000</v>
      </c>
      <c r="F24">
        <f>SUM(F4:F23)</f>
        <v>303000</v>
      </c>
      <c r="G24" s="38">
        <f>SUM(G4:G23)</f>
        <v>357500</v>
      </c>
      <c r="H24">
        <f>SUM(H4:H23)</f>
        <v>292500</v>
      </c>
    </row>
    <row r="25" spans="5:8" ht="18" customHeight="1">
      <c r="E25" s="57" t="s">
        <v>134</v>
      </c>
      <c r="F25" t="s">
        <v>134</v>
      </c>
      <c r="G25" s="38" t="s">
        <v>134</v>
      </c>
      <c r="H25" s="1" t="s">
        <v>135</v>
      </c>
    </row>
    <row r="26" ht="18" customHeight="1"/>
    <row r="27" ht="18" customHeight="1"/>
    <row r="28" ht="18" customHeight="1"/>
    <row r="29" ht="18" customHeight="1"/>
    <row r="30" ht="18" customHeight="1"/>
  </sheetData>
  <sheetProtection/>
  <printOptions/>
  <pageMargins left="0.75" right="0.75" top="1" bottom="1" header="0.5" footer="0.5"/>
  <pageSetup horizontalDpi="600" verticalDpi="600" orientation="portrait" paperSize="9" r:id="rId1"/>
  <rowBreaks count="1" manualBreakCount="1">
    <brk id="1" max="255" man="1"/>
  </rowBreaks>
</worksheet>
</file>

<file path=xl/worksheets/sheet11.xml><?xml version="1.0" encoding="utf-8"?>
<worksheet xmlns="http://schemas.openxmlformats.org/spreadsheetml/2006/main" xmlns:r="http://schemas.openxmlformats.org/officeDocument/2006/relationships">
  <dimension ref="B2:H28"/>
  <sheetViews>
    <sheetView zoomScalePageLayoutView="0" workbookViewId="0" topLeftCell="A1">
      <selection activeCell="A1" sqref="A1"/>
    </sheetView>
  </sheetViews>
  <sheetFormatPr defaultColWidth="9.00390625" defaultRowHeight="15.75"/>
  <cols>
    <col min="1" max="1" width="6.25390625" style="0" customWidth="1"/>
    <col min="2" max="2" width="24.875" style="0" customWidth="1"/>
    <col min="7" max="7" width="2.00390625" style="0" customWidth="1"/>
  </cols>
  <sheetData>
    <row r="2" spans="2:8" ht="15.75">
      <c r="B2" s="55" t="s">
        <v>124</v>
      </c>
      <c r="C2" s="1" t="s">
        <v>114</v>
      </c>
      <c r="D2" s="1" t="s">
        <v>115</v>
      </c>
      <c r="E2" s="1" t="s">
        <v>116</v>
      </c>
      <c r="F2" s="1" t="s">
        <v>117</v>
      </c>
      <c r="G2" s="1"/>
      <c r="H2" s="1" t="s">
        <v>118</v>
      </c>
    </row>
    <row r="3" spans="2:8" ht="15.75">
      <c r="B3" t="s">
        <v>119</v>
      </c>
      <c r="C3" s="53">
        <v>13000</v>
      </c>
      <c r="D3" s="53">
        <v>16000</v>
      </c>
      <c r="E3" s="53">
        <v>17000</v>
      </c>
      <c r="F3" s="53">
        <v>14000</v>
      </c>
      <c r="G3" s="53"/>
      <c r="H3" s="53">
        <v>60000</v>
      </c>
    </row>
    <row r="4" spans="2:8" ht="18" customHeight="1">
      <c r="B4" t="s">
        <v>120</v>
      </c>
      <c r="C4" s="54">
        <v>3200</v>
      </c>
      <c r="D4" s="54">
        <v>3400</v>
      </c>
      <c r="E4" s="54">
        <v>2800</v>
      </c>
      <c r="F4" s="54">
        <v>3000</v>
      </c>
      <c r="G4" s="53"/>
      <c r="H4" s="54">
        <v>3000</v>
      </c>
    </row>
    <row r="5" spans="2:8" ht="18" customHeight="1">
      <c r="B5" t="s">
        <v>121</v>
      </c>
      <c r="C5" s="53">
        <f>+C3+C4</f>
        <v>16200</v>
      </c>
      <c r="D5" s="53">
        <f>+D3+D4</f>
        <v>19400</v>
      </c>
      <c r="E5" s="53">
        <f>+E3+E4</f>
        <v>19800</v>
      </c>
      <c r="F5" s="53">
        <f>+F3+F4</f>
        <v>17000</v>
      </c>
      <c r="G5" s="53"/>
      <c r="H5" s="53">
        <v>63000</v>
      </c>
    </row>
    <row r="6" spans="2:8" ht="18" customHeight="1">
      <c r="B6" t="s">
        <v>122</v>
      </c>
      <c r="C6" s="54">
        <f>+D4</f>
        <v>3400</v>
      </c>
      <c r="D6" s="54">
        <f>+E4</f>
        <v>2800</v>
      </c>
      <c r="E6" s="54">
        <f>+F4</f>
        <v>3000</v>
      </c>
      <c r="F6" s="54">
        <f>+E4</f>
        <v>2800</v>
      </c>
      <c r="G6" s="53"/>
      <c r="H6" s="54">
        <v>2500</v>
      </c>
    </row>
    <row r="7" spans="2:8" ht="18" customHeight="1">
      <c r="B7" t="s">
        <v>123</v>
      </c>
      <c r="C7" s="53">
        <f>+C5-C6</f>
        <v>12800</v>
      </c>
      <c r="D7" s="53">
        <f>+D5-D6</f>
        <v>16600</v>
      </c>
      <c r="E7" s="53">
        <f>+E5-E6</f>
        <v>16800</v>
      </c>
      <c r="F7" s="53">
        <f>+F5-F6</f>
        <v>14200</v>
      </c>
      <c r="G7" s="53"/>
      <c r="H7" s="53">
        <v>60500</v>
      </c>
    </row>
    <row r="8" ht="18" customHeight="1"/>
    <row r="9" spans="2:8" ht="18" customHeight="1">
      <c r="B9" s="55" t="s">
        <v>125</v>
      </c>
      <c r="C9" s="1" t="s">
        <v>114</v>
      </c>
      <c r="D9" s="1" t="s">
        <v>115</v>
      </c>
      <c r="E9" s="1" t="s">
        <v>116</v>
      </c>
      <c r="F9" s="1" t="s">
        <v>117</v>
      </c>
      <c r="G9" s="1"/>
      <c r="H9" s="1" t="s">
        <v>118</v>
      </c>
    </row>
    <row r="10" spans="2:8" ht="18" customHeight="1">
      <c r="B10" t="s">
        <v>119</v>
      </c>
      <c r="C10" s="53">
        <v>13000</v>
      </c>
      <c r="D10" s="53">
        <v>16000</v>
      </c>
      <c r="E10" s="53">
        <v>17000</v>
      </c>
      <c r="F10" s="53">
        <v>14000</v>
      </c>
      <c r="G10" s="53"/>
      <c r="H10" s="53">
        <v>60000</v>
      </c>
    </row>
    <row r="11" spans="2:8" ht="18" customHeight="1">
      <c r="B11" t="s">
        <v>120</v>
      </c>
      <c r="C11" s="54">
        <v>3200</v>
      </c>
      <c r="D11" s="54">
        <v>3400</v>
      </c>
      <c r="E11" s="54">
        <v>2800</v>
      </c>
      <c r="F11" s="54">
        <v>3000</v>
      </c>
      <c r="G11" s="53"/>
      <c r="H11" s="54">
        <f>SUM(C11:F11)</f>
        <v>12400</v>
      </c>
    </row>
    <row r="12" spans="2:8" ht="18" customHeight="1">
      <c r="B12" t="s">
        <v>121</v>
      </c>
      <c r="C12" s="53">
        <f>+C10+C11</f>
        <v>16200</v>
      </c>
      <c r="D12" s="53">
        <f>+D10+D11</f>
        <v>19400</v>
      </c>
      <c r="E12" s="53">
        <f>+E10+E11</f>
        <v>19800</v>
      </c>
      <c r="F12" s="53">
        <f>+F10+F11</f>
        <v>17000</v>
      </c>
      <c r="G12" s="53"/>
      <c r="H12" s="53">
        <f>+H10+H11</f>
        <v>72400</v>
      </c>
    </row>
    <row r="13" spans="2:8" ht="18" customHeight="1">
      <c r="B13" t="s">
        <v>122</v>
      </c>
      <c r="C13" s="54">
        <f>+D11</f>
        <v>3400</v>
      </c>
      <c r="D13" s="54">
        <f>+E11</f>
        <v>2800</v>
      </c>
      <c r="E13" s="54">
        <f>+F11</f>
        <v>3000</v>
      </c>
      <c r="F13" s="54">
        <f>+E11</f>
        <v>2800</v>
      </c>
      <c r="G13" s="53"/>
      <c r="H13" s="54">
        <f>SUM(C13:F13)</f>
        <v>12000</v>
      </c>
    </row>
    <row r="14" spans="2:8" ht="18" customHeight="1">
      <c r="B14" t="s">
        <v>123</v>
      </c>
      <c r="C14" s="53">
        <f>+C12-C13</f>
        <v>12800</v>
      </c>
      <c r="D14" s="53">
        <f>+D12-D13</f>
        <v>16600</v>
      </c>
      <c r="E14" s="53">
        <f>+E12-E13</f>
        <v>16800</v>
      </c>
      <c r="F14" s="53">
        <f>+F12-F13</f>
        <v>14200</v>
      </c>
      <c r="G14" s="53"/>
      <c r="H14" s="53">
        <f>+H12-H13</f>
        <v>60400</v>
      </c>
    </row>
    <row r="15" ht="18" customHeight="1"/>
    <row r="16" spans="2:8" ht="18" customHeight="1">
      <c r="B16" s="55" t="s">
        <v>126</v>
      </c>
      <c r="C16" s="1" t="s">
        <v>114</v>
      </c>
      <c r="D16" s="1" t="s">
        <v>115</v>
      </c>
      <c r="E16" s="1" t="s">
        <v>116</v>
      </c>
      <c r="F16" s="1" t="s">
        <v>117</v>
      </c>
      <c r="G16" s="1"/>
      <c r="H16" s="1" t="s">
        <v>118</v>
      </c>
    </row>
    <row r="17" spans="2:8" ht="18" customHeight="1">
      <c r="B17" t="s">
        <v>119</v>
      </c>
      <c r="C17" s="53">
        <v>13000</v>
      </c>
      <c r="D17" s="53">
        <v>16000</v>
      </c>
      <c r="E17" s="53">
        <v>17000</v>
      </c>
      <c r="F17" s="53">
        <v>14000</v>
      </c>
      <c r="G17" s="53"/>
      <c r="H17" s="53">
        <v>60000</v>
      </c>
    </row>
    <row r="18" spans="2:8" ht="18" customHeight="1">
      <c r="B18" t="s">
        <v>120</v>
      </c>
      <c r="C18" s="54">
        <v>3200</v>
      </c>
      <c r="D18" s="54">
        <v>3400</v>
      </c>
      <c r="E18" s="54">
        <v>2800</v>
      </c>
      <c r="F18" s="54">
        <v>3000</v>
      </c>
      <c r="G18" s="53"/>
      <c r="H18" s="54">
        <v>3000</v>
      </c>
    </row>
    <row r="19" spans="2:8" ht="18" customHeight="1">
      <c r="B19" t="s">
        <v>121</v>
      </c>
      <c r="C19" s="53">
        <f>+C17+C18</f>
        <v>16200</v>
      </c>
      <c r="D19" s="53">
        <f>+D17+D18</f>
        <v>19400</v>
      </c>
      <c r="E19" s="53">
        <f>+E17+E18</f>
        <v>19800</v>
      </c>
      <c r="F19" s="53">
        <f>+F17+F18</f>
        <v>17000</v>
      </c>
      <c r="G19" s="53"/>
      <c r="H19" s="53">
        <v>63000</v>
      </c>
    </row>
    <row r="20" spans="2:8" ht="18" customHeight="1">
      <c r="B20" t="s">
        <v>122</v>
      </c>
      <c r="C20" s="54">
        <v>2500</v>
      </c>
      <c r="D20" s="54">
        <f>+C18</f>
        <v>3200</v>
      </c>
      <c r="E20" s="54">
        <f>+D18</f>
        <v>3400</v>
      </c>
      <c r="F20" s="54">
        <f>+E18</f>
        <v>2800</v>
      </c>
      <c r="G20" s="53"/>
      <c r="H20" s="54">
        <v>2500</v>
      </c>
    </row>
    <row r="21" spans="2:8" ht="18" customHeight="1">
      <c r="B21" t="s">
        <v>123</v>
      </c>
      <c r="C21" s="53">
        <f>+C19-C20</f>
        <v>13700</v>
      </c>
      <c r="D21" s="53">
        <f>+D19-D20</f>
        <v>16200</v>
      </c>
      <c r="E21" s="53">
        <f>+E19-E20</f>
        <v>16400</v>
      </c>
      <c r="F21" s="53">
        <f>+F19-F20</f>
        <v>14200</v>
      </c>
      <c r="G21" s="53"/>
      <c r="H21" s="53">
        <v>60500</v>
      </c>
    </row>
    <row r="22" ht="18" customHeight="1"/>
    <row r="23" spans="2:8" ht="18" customHeight="1">
      <c r="B23" s="55" t="s">
        <v>127</v>
      </c>
      <c r="C23" s="1" t="s">
        <v>114</v>
      </c>
      <c r="D23" s="1" t="s">
        <v>115</v>
      </c>
      <c r="E23" s="1" t="s">
        <v>116</v>
      </c>
      <c r="F23" s="1" t="s">
        <v>117</v>
      </c>
      <c r="G23" s="1"/>
      <c r="H23" s="1" t="s">
        <v>118</v>
      </c>
    </row>
    <row r="24" spans="2:8" ht="18" customHeight="1">
      <c r="B24" t="s">
        <v>119</v>
      </c>
      <c r="C24" s="53">
        <v>13000</v>
      </c>
      <c r="D24" s="53">
        <v>16000</v>
      </c>
      <c r="E24" s="53">
        <v>17000</v>
      </c>
      <c r="F24" s="53">
        <v>14000</v>
      </c>
      <c r="G24" s="53"/>
      <c r="H24" s="53">
        <v>60000</v>
      </c>
    </row>
    <row r="25" spans="2:8" ht="18" customHeight="1">
      <c r="B25" t="s">
        <v>120</v>
      </c>
      <c r="C25" s="54">
        <v>3200</v>
      </c>
      <c r="D25" s="54">
        <v>3400</v>
      </c>
      <c r="E25" s="54">
        <v>2800</v>
      </c>
      <c r="F25" s="54">
        <v>3000</v>
      </c>
      <c r="G25" s="53"/>
      <c r="H25" s="54">
        <f>SUM(C25:F25)</f>
        <v>12400</v>
      </c>
    </row>
    <row r="26" spans="2:8" ht="18" customHeight="1">
      <c r="B26" t="s">
        <v>121</v>
      </c>
      <c r="C26" s="53">
        <f>+C24+C25</f>
        <v>16200</v>
      </c>
      <c r="D26" s="53">
        <f>+D24+D25</f>
        <v>19400</v>
      </c>
      <c r="E26" s="53">
        <f>+E24+E25</f>
        <v>19800</v>
      </c>
      <c r="F26" s="53">
        <f>+F24+F25</f>
        <v>17000</v>
      </c>
      <c r="G26" s="53"/>
      <c r="H26" s="53">
        <f>+H24+H25</f>
        <v>72400</v>
      </c>
    </row>
    <row r="27" spans="2:8" ht="18" customHeight="1">
      <c r="B27" t="s">
        <v>122</v>
      </c>
      <c r="C27" s="54">
        <v>2500</v>
      </c>
      <c r="D27" s="54">
        <f>+C25</f>
        <v>3200</v>
      </c>
      <c r="E27" s="54">
        <f>+D25</f>
        <v>3400</v>
      </c>
      <c r="F27" s="54">
        <f>+E25</f>
        <v>2800</v>
      </c>
      <c r="G27" s="53"/>
      <c r="H27" s="54">
        <f>SUM(C27:F27)</f>
        <v>11900</v>
      </c>
    </row>
    <row r="28" spans="2:8" ht="18" customHeight="1">
      <c r="B28" t="s">
        <v>123</v>
      </c>
      <c r="C28" s="53">
        <f>+C26-C27</f>
        <v>13700</v>
      </c>
      <c r="D28" s="53">
        <f>+D26-D27</f>
        <v>16200</v>
      </c>
      <c r="E28" s="53">
        <f>+E26-E27</f>
        <v>16400</v>
      </c>
      <c r="F28" s="53">
        <f>+F26-F27</f>
        <v>14200</v>
      </c>
      <c r="G28" s="53"/>
      <c r="H28" s="53">
        <f>+H26-H27</f>
        <v>60500</v>
      </c>
    </row>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printOptions/>
  <pageMargins left="0.75" right="0.75" top="1" bottom="1" header="0.5" footer="0.5"/>
  <pageSetup horizontalDpi="600" verticalDpi="600" orientation="portrait" paperSize="9" r:id="rId1"/>
  <rowBreaks count="1" manualBreakCount="1">
    <brk id="1" max="255" man="1"/>
  </rowBreaks>
</worksheet>
</file>

<file path=xl/worksheets/sheet12.xml><?xml version="1.0" encoding="utf-8"?>
<worksheet xmlns="http://schemas.openxmlformats.org/spreadsheetml/2006/main" xmlns:r="http://schemas.openxmlformats.org/officeDocument/2006/relationships">
  <dimension ref="B2:E25"/>
  <sheetViews>
    <sheetView zoomScalePageLayoutView="0" workbookViewId="0" topLeftCell="A1">
      <selection activeCell="A1" sqref="A1"/>
    </sheetView>
  </sheetViews>
  <sheetFormatPr defaultColWidth="9.00390625" defaultRowHeight="15.75"/>
  <cols>
    <col min="2" max="2" width="35.625" style="0" customWidth="1"/>
    <col min="5" max="5" width="10.875" style="0" bestFit="1" customWidth="1"/>
  </cols>
  <sheetData>
    <row r="2" spans="3:4" ht="15.75">
      <c r="C2" s="1" t="s">
        <v>138</v>
      </c>
      <c r="D2" s="1" t="s">
        <v>139</v>
      </c>
    </row>
    <row r="4" spans="2:5" ht="15.75">
      <c r="B4" t="s">
        <v>36</v>
      </c>
      <c r="C4">
        <v>5</v>
      </c>
      <c r="D4" s="58">
        <v>18</v>
      </c>
      <c r="E4" s="58">
        <f>+C4*D4</f>
        <v>90</v>
      </c>
    </row>
    <row r="5" spans="2:5" ht="15.75">
      <c r="B5" t="s">
        <v>136</v>
      </c>
      <c r="C5">
        <v>2</v>
      </c>
      <c r="D5" s="58">
        <v>7</v>
      </c>
      <c r="E5" s="59">
        <f>+C5*D5</f>
        <v>14</v>
      </c>
    </row>
    <row r="6" spans="2:5" ht="15.75">
      <c r="B6" t="s">
        <v>137</v>
      </c>
      <c r="E6" s="58">
        <f>+E4+E5</f>
        <v>104</v>
      </c>
    </row>
    <row r="7" spans="2:5" ht="15.75">
      <c r="B7" t="s">
        <v>143</v>
      </c>
      <c r="E7" s="59">
        <v>180</v>
      </c>
    </row>
    <row r="8" spans="2:5" ht="15.75">
      <c r="B8" t="s">
        <v>140</v>
      </c>
      <c r="E8" s="58">
        <f>+E7-E6</f>
        <v>76</v>
      </c>
    </row>
    <row r="9" spans="2:5" ht="15.75">
      <c r="B9" s="20" t="s">
        <v>141</v>
      </c>
      <c r="E9" s="41">
        <v>4</v>
      </c>
    </row>
    <row r="10" spans="2:5" ht="15.75">
      <c r="B10" s="20" t="s">
        <v>142</v>
      </c>
      <c r="E10" s="58">
        <f>+E8/E9</f>
        <v>19</v>
      </c>
    </row>
    <row r="12" spans="2:5" ht="15.75">
      <c r="B12" t="s">
        <v>151</v>
      </c>
      <c r="E12" s="60">
        <f>+E10</f>
        <v>19</v>
      </c>
    </row>
    <row r="13" spans="2:5" ht="15.75">
      <c r="B13" t="s">
        <v>152</v>
      </c>
      <c r="E13" s="59">
        <v>20</v>
      </c>
    </row>
    <row r="14" spans="2:5" ht="15.75">
      <c r="B14" t="s">
        <v>147</v>
      </c>
      <c r="E14" s="58">
        <f>+E12-E13</f>
        <v>-1</v>
      </c>
    </row>
    <row r="15" spans="2:5" ht="15.75">
      <c r="B15" t="s">
        <v>145</v>
      </c>
      <c r="E15" s="61">
        <v>500</v>
      </c>
    </row>
    <row r="16" spans="2:5" ht="15.75">
      <c r="B16" t="s">
        <v>153</v>
      </c>
      <c r="E16" s="41">
        <v>5</v>
      </c>
    </row>
    <row r="17" spans="2:5" ht="15.75">
      <c r="B17" t="s">
        <v>154</v>
      </c>
      <c r="E17" s="198">
        <f>+E14*E15*E16</f>
        <v>-2500</v>
      </c>
    </row>
    <row r="19" spans="2:5" ht="15.75">
      <c r="B19" t="s">
        <v>148</v>
      </c>
      <c r="E19">
        <f>+E9</f>
        <v>4</v>
      </c>
    </row>
    <row r="20" spans="2:5" ht="15.75">
      <c r="B20" t="s">
        <v>150</v>
      </c>
      <c r="E20" s="41">
        <v>5</v>
      </c>
    </row>
    <row r="21" spans="2:5" ht="15.75">
      <c r="B21" t="s">
        <v>147</v>
      </c>
      <c r="E21">
        <f>+E19-E20</f>
        <v>-1</v>
      </c>
    </row>
    <row r="22" spans="2:5" ht="15.75">
      <c r="B22" t="s">
        <v>145</v>
      </c>
      <c r="E22" s="41">
        <v>500</v>
      </c>
    </row>
    <row r="23" spans="2:5" ht="15.75">
      <c r="B23" t="s">
        <v>149</v>
      </c>
      <c r="E23">
        <f>+E21*E22</f>
        <v>-500</v>
      </c>
    </row>
    <row r="24" spans="2:5" ht="15.75">
      <c r="B24" t="s">
        <v>144</v>
      </c>
      <c r="E24" s="59">
        <f>+E10</f>
        <v>19</v>
      </c>
    </row>
    <row r="25" spans="2:5" ht="15.75">
      <c r="B25" t="s">
        <v>146</v>
      </c>
      <c r="E25" s="2">
        <f>+E23*E24</f>
        <v>-9500</v>
      </c>
    </row>
  </sheetData>
  <sheetProtection/>
  <printOptions/>
  <pageMargins left="0.75" right="0.75" top="1" bottom="1" header="0.5" footer="0.5"/>
  <pageSetup orientation="portrait" paperSize="9" r:id="rId1"/>
</worksheet>
</file>

<file path=xl/worksheets/sheet13.xml><?xml version="1.0" encoding="utf-8"?>
<worksheet xmlns="http://schemas.openxmlformats.org/spreadsheetml/2006/main" xmlns:r="http://schemas.openxmlformats.org/officeDocument/2006/relationships">
  <dimension ref="B2:F18"/>
  <sheetViews>
    <sheetView zoomScalePageLayoutView="0" workbookViewId="0" topLeftCell="A1">
      <selection activeCell="A2" sqref="A2"/>
    </sheetView>
  </sheetViews>
  <sheetFormatPr defaultColWidth="9.00390625" defaultRowHeight="15.75"/>
  <cols>
    <col min="2" max="2" width="13.50390625" style="0" customWidth="1"/>
    <col min="3" max="3" width="12.375" style="0" customWidth="1"/>
    <col min="4" max="4" width="12.75390625" style="0" customWidth="1"/>
    <col min="5" max="5" width="11.375" style="0" customWidth="1"/>
    <col min="6" max="6" width="11.625" style="0" customWidth="1"/>
  </cols>
  <sheetData>
    <row r="2" spans="3:6" ht="15.75">
      <c r="C2" s="1" t="s">
        <v>155</v>
      </c>
      <c r="D2" s="1" t="s">
        <v>156</v>
      </c>
      <c r="E2" s="1" t="s">
        <v>157</v>
      </c>
      <c r="F2" s="1"/>
    </row>
    <row r="3" spans="4:6" ht="15.75">
      <c r="D3" s="1"/>
      <c r="E3" s="1"/>
      <c r="F3" s="1"/>
    </row>
    <row r="4" spans="2:6" ht="15.75">
      <c r="B4" s="55" t="s">
        <v>36</v>
      </c>
      <c r="C4">
        <v>5.3</v>
      </c>
      <c r="D4" s="62">
        <v>17.2</v>
      </c>
      <c r="E4" s="1">
        <f>+C4*D4</f>
        <v>91.16</v>
      </c>
      <c r="F4" s="1"/>
    </row>
    <row r="5" spans="4:6" ht="15.75">
      <c r="D5" s="1"/>
      <c r="E5" s="1"/>
      <c r="F5" s="1"/>
    </row>
    <row r="6" spans="2:6" ht="15.75">
      <c r="B6" s="1" t="s">
        <v>158</v>
      </c>
      <c r="C6" s="1"/>
      <c r="D6" s="1" t="s">
        <v>158</v>
      </c>
      <c r="E6" s="1"/>
      <c r="F6" s="1" t="s">
        <v>155</v>
      </c>
    </row>
    <row r="7" spans="2:6" ht="15.75">
      <c r="B7" s="1" t="s">
        <v>159</v>
      </c>
      <c r="C7" s="1"/>
      <c r="D7" s="1" t="s">
        <v>160</v>
      </c>
      <c r="E7" s="1"/>
      <c r="F7" s="1" t="s">
        <v>161</v>
      </c>
    </row>
    <row r="8" spans="3:6" ht="15.75">
      <c r="C8" s="1"/>
      <c r="D8" s="1"/>
      <c r="E8" s="63"/>
      <c r="F8" s="63"/>
    </row>
    <row r="9" spans="2:6" ht="15.75">
      <c r="B9" s="42">
        <v>8100</v>
      </c>
      <c r="C9" s="1"/>
      <c r="D9" s="42">
        <f>+B9</f>
        <v>8100</v>
      </c>
      <c r="E9" s="63"/>
      <c r="F9" s="64"/>
    </row>
    <row r="10" spans="2:6" ht="15.75">
      <c r="B10" s="65">
        <f>+B11/B9</f>
        <v>17.45</v>
      </c>
      <c r="C10" s="1"/>
      <c r="D10" s="66">
        <f>+D4</f>
        <v>17.2</v>
      </c>
      <c r="E10" s="63"/>
      <c r="F10" s="63"/>
    </row>
    <row r="11" spans="2:6" ht="15.75">
      <c r="B11" s="67">
        <v>141345</v>
      </c>
      <c r="C11" s="71">
        <f>+D11-B11</f>
        <v>-2025</v>
      </c>
      <c r="D11" s="67">
        <f>+D10*D9</f>
        <v>139320</v>
      </c>
      <c r="E11" s="64"/>
      <c r="F11" s="64"/>
    </row>
    <row r="12" spans="2:6" ht="15.75">
      <c r="B12" s="1"/>
      <c r="C12" s="1" t="s">
        <v>162</v>
      </c>
      <c r="D12" s="1"/>
      <c r="E12" s="63"/>
      <c r="F12" s="63"/>
    </row>
    <row r="13" spans="4:6" ht="15.75">
      <c r="D13" s="69"/>
      <c r="E13" s="1"/>
      <c r="F13" s="67">
        <v>1400</v>
      </c>
    </row>
    <row r="14" spans="4:6" ht="15.75">
      <c r="D14" s="70"/>
      <c r="E14" s="1"/>
      <c r="F14" s="66">
        <f>+C4</f>
        <v>5.3</v>
      </c>
    </row>
    <row r="15" spans="4:6" ht="15.75">
      <c r="D15" s="67">
        <v>7600</v>
      </c>
      <c r="E15" s="1"/>
      <c r="F15" s="67">
        <f>+F14*F13</f>
        <v>7420</v>
      </c>
    </row>
    <row r="16" spans="4:6" ht="15.75">
      <c r="D16" s="66">
        <f>+D4</f>
        <v>17.2</v>
      </c>
      <c r="E16" s="1"/>
      <c r="F16" s="66">
        <f>+D4</f>
        <v>17.2</v>
      </c>
    </row>
    <row r="17" spans="4:6" ht="15.75">
      <c r="D17" s="67">
        <f>+D16*D15</f>
        <v>130720</v>
      </c>
      <c r="E17" s="71">
        <f>+F17-D17</f>
        <v>-3096</v>
      </c>
      <c r="F17" s="67">
        <f>+F16*F15</f>
        <v>127624</v>
      </c>
    </row>
    <row r="18" ht="15.75">
      <c r="E18" s="1" t="s">
        <v>163</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9.00390625" defaultRowHeight="15.75"/>
  <cols>
    <col min="2" max="2" width="17.75390625" style="0" customWidth="1"/>
    <col min="3" max="7" width="10.625" style="0" customWidth="1"/>
  </cols>
  <sheetData>
    <row r="1" ht="16.5" thickBot="1"/>
    <row r="2" spans="2:6" ht="16.5" thickBot="1">
      <c r="B2" s="55" t="s">
        <v>164</v>
      </c>
      <c r="C2" s="72">
        <v>3</v>
      </c>
      <c r="D2" s="62" t="s">
        <v>177</v>
      </c>
      <c r="E2" s="1"/>
      <c r="F2" s="1"/>
    </row>
    <row r="3" spans="4:6" ht="15.75">
      <c r="D3" s="1"/>
      <c r="E3" s="1"/>
      <c r="F3" s="1"/>
    </row>
    <row r="4" spans="2:6" ht="15.75">
      <c r="B4" s="1" t="s">
        <v>158</v>
      </c>
      <c r="C4" s="1"/>
      <c r="D4" s="1" t="s">
        <v>158</v>
      </c>
      <c r="E4" s="1"/>
      <c r="F4" s="1" t="s">
        <v>155</v>
      </c>
    </row>
    <row r="5" spans="2:6" ht="15.75">
      <c r="B5" s="1" t="s">
        <v>159</v>
      </c>
      <c r="C5" s="1"/>
      <c r="D5" s="1" t="s">
        <v>160</v>
      </c>
      <c r="E5" s="1"/>
      <c r="F5" s="1" t="s">
        <v>161</v>
      </c>
    </row>
    <row r="6" spans="2:6" ht="16.5" thickBot="1">
      <c r="B6" s="1"/>
      <c r="C6" s="1"/>
      <c r="D6" s="1"/>
      <c r="E6" s="1"/>
      <c r="F6" s="1"/>
    </row>
    <row r="7" spans="3:6" ht="16.5" thickBot="1">
      <c r="C7" s="1"/>
      <c r="D7" s="73">
        <f>+E27</f>
        <v>87000</v>
      </c>
      <c r="E7" s="1"/>
      <c r="F7" s="74">
        <f>+D7</f>
        <v>87000</v>
      </c>
    </row>
    <row r="8" spans="3:6" ht="16.5" thickBot="1">
      <c r="C8" s="1"/>
      <c r="D8" s="44">
        <f>+E28</f>
        <v>3.15</v>
      </c>
      <c r="E8" s="20" t="s">
        <v>165</v>
      </c>
      <c r="F8" s="75">
        <f>+C2</f>
        <v>3</v>
      </c>
    </row>
    <row r="9" spans="1:6" ht="16.5" thickBot="1">
      <c r="A9" s="1"/>
      <c r="B9" s="42">
        <v>840000</v>
      </c>
      <c r="C9" s="1"/>
      <c r="D9" s="73">
        <f>+D7*D8</f>
        <v>274050</v>
      </c>
      <c r="E9" s="1"/>
      <c r="F9" s="67">
        <f>+F8*F7</f>
        <v>261000</v>
      </c>
    </row>
    <row r="10" spans="1:7" ht="16.5" thickBot="1">
      <c r="A10" s="1"/>
      <c r="B10" s="80">
        <v>440000</v>
      </c>
      <c r="C10" s="1"/>
      <c r="D10" s="76">
        <f>+F10</f>
        <v>1.4</v>
      </c>
      <c r="E10" s="20" t="s">
        <v>166</v>
      </c>
      <c r="F10" s="83">
        <f>+E24</f>
        <v>1.4</v>
      </c>
      <c r="G10" s="20" t="s">
        <v>166</v>
      </c>
    </row>
    <row r="11" spans="1:6" ht="16.5" thickBot="1">
      <c r="A11" s="1"/>
      <c r="B11" s="74">
        <f>+B9-B10</f>
        <v>400000</v>
      </c>
      <c r="C11" s="68">
        <f>+D11-B11</f>
        <v>-16330</v>
      </c>
      <c r="D11" s="67">
        <f>+D10*D9</f>
        <v>383670</v>
      </c>
      <c r="E11" s="68">
        <f>+F11-D11</f>
        <v>-18270</v>
      </c>
      <c r="F11" s="74">
        <f>+F9*F10</f>
        <v>365400</v>
      </c>
    </row>
    <row r="12" spans="3:5" ht="15.75">
      <c r="C12" s="81" t="s">
        <v>178</v>
      </c>
      <c r="E12" s="1" t="s">
        <v>179</v>
      </c>
    </row>
    <row r="14" spans="2:7" ht="16.5" thickBot="1">
      <c r="B14" t="s">
        <v>167</v>
      </c>
      <c r="G14" s="78"/>
    </row>
    <row r="15" spans="2:5" ht="16.5" thickBot="1">
      <c r="B15" s="20" t="s">
        <v>168</v>
      </c>
      <c r="E15" s="72">
        <v>5</v>
      </c>
    </row>
    <row r="16" spans="2:5" ht="16.5" thickBot="1">
      <c r="B16" s="20" t="s">
        <v>169</v>
      </c>
      <c r="E16" s="77">
        <v>90000</v>
      </c>
    </row>
    <row r="17" ht="16.5" thickBot="1">
      <c r="E17" s="78">
        <f>+E15*E16</f>
        <v>450000</v>
      </c>
    </row>
    <row r="18" spans="2:6" ht="16.5" thickBot="1">
      <c r="B18" t="s">
        <v>170</v>
      </c>
      <c r="E18" s="77">
        <v>828000</v>
      </c>
      <c r="F18" s="78"/>
    </row>
    <row r="19" spans="2:5" ht="15.75">
      <c r="B19" t="s">
        <v>171</v>
      </c>
      <c r="E19" s="78">
        <f>+E18-E17</f>
        <v>378000</v>
      </c>
    </row>
    <row r="20" ht="16.5" thickBot="1">
      <c r="B20" t="s">
        <v>172</v>
      </c>
    </row>
    <row r="21" spans="2:6" ht="16.5" thickBot="1">
      <c r="B21" s="20" t="s">
        <v>169</v>
      </c>
      <c r="D21" s="77">
        <f>+E16</f>
        <v>90000</v>
      </c>
      <c r="F21" s="78"/>
    </row>
    <row r="22" spans="2:4" ht="16.5" thickBot="1">
      <c r="B22" s="20" t="s">
        <v>173</v>
      </c>
      <c r="D22" s="72">
        <f>+C2</f>
        <v>3</v>
      </c>
    </row>
    <row r="23" ht="15.75">
      <c r="E23" s="79">
        <f>+D22*D21</f>
        <v>270000</v>
      </c>
    </row>
    <row r="24" spans="2:6" ht="15.75">
      <c r="B24" t="s">
        <v>174</v>
      </c>
      <c r="E24" s="84">
        <f>+E19/E23</f>
        <v>1.4</v>
      </c>
      <c r="F24" s="20" t="s">
        <v>166</v>
      </c>
    </row>
    <row r="25" ht="16.5" thickBot="1"/>
    <row r="26" spans="2:6" ht="16.5" thickBot="1">
      <c r="B26" t="s">
        <v>175</v>
      </c>
      <c r="E26" s="73">
        <v>274050</v>
      </c>
      <c r="F26" s="5"/>
    </row>
    <row r="27" spans="2:5" ht="16.5" thickBot="1">
      <c r="B27" t="s">
        <v>176</v>
      </c>
      <c r="E27" s="73">
        <v>87000</v>
      </c>
    </row>
    <row r="28" spans="5:6" ht="15.75">
      <c r="E28" s="82">
        <f>+E26/E27</f>
        <v>3.15</v>
      </c>
      <c r="F28" s="20" t="s">
        <v>165</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M33"/>
  <sheetViews>
    <sheetView zoomScalePageLayoutView="0" workbookViewId="0" topLeftCell="A1">
      <selection activeCell="A1" sqref="A1"/>
    </sheetView>
  </sheetViews>
  <sheetFormatPr defaultColWidth="9.00390625" defaultRowHeight="15.75"/>
  <cols>
    <col min="2" max="2" width="28.75390625" style="0" customWidth="1"/>
    <col min="3" max="3" width="13.75390625" style="0" customWidth="1"/>
    <col min="4" max="7" width="10.625" style="0" customWidth="1"/>
  </cols>
  <sheetData>
    <row r="2" spans="1:2" ht="15.75">
      <c r="A2" s="100"/>
      <c r="B2" s="85" t="s">
        <v>180</v>
      </c>
    </row>
    <row r="4" spans="2:6" ht="15.75">
      <c r="B4" s="85" t="s">
        <v>181</v>
      </c>
      <c r="C4" s="86" t="s">
        <v>182</v>
      </c>
      <c r="D4" s="86" t="s">
        <v>183</v>
      </c>
      <c r="E4" s="87" t="s">
        <v>194</v>
      </c>
      <c r="F4" s="86" t="s">
        <v>184</v>
      </c>
    </row>
    <row r="5" spans="3:6" ht="15.75">
      <c r="C5" s="1"/>
      <c r="D5" s="1"/>
      <c r="E5" s="1"/>
      <c r="F5" s="1"/>
    </row>
    <row r="6" spans="2:6" ht="15.75">
      <c r="B6" t="s">
        <v>185</v>
      </c>
      <c r="C6" s="1" t="s">
        <v>186</v>
      </c>
      <c r="D6" s="67">
        <v>-630000</v>
      </c>
      <c r="E6" s="88">
        <v>1</v>
      </c>
      <c r="F6" s="67">
        <f>+E6*D6</f>
        <v>-630000</v>
      </c>
    </row>
    <row r="7" spans="3:6" ht="15.75">
      <c r="C7" s="1"/>
      <c r="D7" s="67"/>
      <c r="E7" s="88"/>
      <c r="F7" s="67"/>
    </row>
    <row r="8" spans="2:7" ht="15.75">
      <c r="B8" t="s">
        <v>192</v>
      </c>
      <c r="C8">
        <v>10</v>
      </c>
      <c r="D8" s="93">
        <v>30000</v>
      </c>
      <c r="E8" s="94">
        <v>0.322</v>
      </c>
      <c r="F8" s="93">
        <f>+D8*E8</f>
        <v>9660</v>
      </c>
      <c r="G8" t="s">
        <v>189</v>
      </c>
    </row>
    <row r="9" spans="3:6" ht="15.75">
      <c r="C9" s="1"/>
      <c r="D9" s="67"/>
      <c r="E9" s="88"/>
      <c r="F9" s="67"/>
    </row>
    <row r="10" spans="2:6" ht="15.75">
      <c r="B10" t="s">
        <v>187</v>
      </c>
      <c r="C10" s="1" t="s">
        <v>186</v>
      </c>
      <c r="D10" s="67">
        <v>-120000</v>
      </c>
      <c r="E10" s="88">
        <v>1</v>
      </c>
      <c r="F10" s="67">
        <f>+E10*D10</f>
        <v>-120000</v>
      </c>
    </row>
    <row r="11" spans="3:6" ht="15.75">
      <c r="C11" s="1"/>
      <c r="D11" s="67"/>
      <c r="E11" s="88"/>
      <c r="F11" s="67"/>
    </row>
    <row r="12" spans="2:7" ht="15.75">
      <c r="B12" t="s">
        <v>187</v>
      </c>
      <c r="C12">
        <f>+C8</f>
        <v>10</v>
      </c>
      <c r="D12" s="93">
        <f>-D10</f>
        <v>120000</v>
      </c>
      <c r="E12" s="94">
        <f>+E8</f>
        <v>0.322</v>
      </c>
      <c r="F12" s="105">
        <f>+D12*E12</f>
        <v>38640</v>
      </c>
      <c r="G12" t="s">
        <v>189</v>
      </c>
    </row>
    <row r="13" spans="3:6" ht="15.75">
      <c r="C13" s="1"/>
      <c r="D13" s="67"/>
      <c r="E13" s="88"/>
      <c r="F13" s="67"/>
    </row>
    <row r="14" spans="2:7" ht="15.75">
      <c r="B14" s="89" t="s">
        <v>188</v>
      </c>
      <c r="C14" s="1">
        <v>1</v>
      </c>
      <c r="D14" s="67">
        <v>-300000</v>
      </c>
      <c r="E14" s="90">
        <v>0.893</v>
      </c>
      <c r="F14" s="67">
        <f>+E14*D14</f>
        <v>-267900</v>
      </c>
      <c r="G14" t="s">
        <v>189</v>
      </c>
    </row>
    <row r="15" spans="3:6" ht="15.75">
      <c r="C15" s="1"/>
      <c r="D15" s="67"/>
      <c r="E15" s="90"/>
      <c r="F15" s="67"/>
    </row>
    <row r="16" spans="2:7" ht="15.75">
      <c r="B16" s="89" t="s">
        <v>188</v>
      </c>
      <c r="C16" s="1">
        <v>2</v>
      </c>
      <c r="D16" s="67">
        <v>-180000</v>
      </c>
      <c r="E16" s="90">
        <v>0.797</v>
      </c>
      <c r="F16" s="67">
        <f>+E16*D16</f>
        <v>-143460</v>
      </c>
      <c r="G16" t="s">
        <v>189</v>
      </c>
    </row>
    <row r="17" spans="3:6" ht="15.75">
      <c r="C17" s="1"/>
      <c r="D17" s="67"/>
      <c r="E17" s="90"/>
      <c r="F17" s="67"/>
    </row>
    <row r="18" spans="2:7" ht="15.75">
      <c r="B18" s="89" t="s">
        <v>188</v>
      </c>
      <c r="C18" s="1">
        <v>3</v>
      </c>
      <c r="D18" s="67">
        <v>-20000</v>
      </c>
      <c r="E18" s="90">
        <v>0.712</v>
      </c>
      <c r="F18" s="67">
        <f>+E18*D18</f>
        <v>-14240</v>
      </c>
      <c r="G18" t="s">
        <v>189</v>
      </c>
    </row>
    <row r="19" spans="3:6" ht="15.75">
      <c r="C19" s="1"/>
      <c r="D19" s="67"/>
      <c r="E19" s="90"/>
      <c r="F19" s="67"/>
    </row>
    <row r="20" spans="2:7" ht="15.75">
      <c r="B20" s="89" t="s">
        <v>188</v>
      </c>
      <c r="C20" s="91" t="s">
        <v>195</v>
      </c>
      <c r="D20" s="67">
        <v>400000</v>
      </c>
      <c r="E20" s="92">
        <v>5.65</v>
      </c>
      <c r="F20" s="67">
        <f>+D20*E20</f>
        <v>2260000</v>
      </c>
      <c r="G20" t="s">
        <v>190</v>
      </c>
    </row>
    <row r="21" spans="2:7" ht="15.75">
      <c r="B21" s="96" t="s">
        <v>188</v>
      </c>
      <c r="C21" s="97" t="s">
        <v>191</v>
      </c>
      <c r="D21" s="98">
        <f>+D20</f>
        <v>400000</v>
      </c>
      <c r="E21" s="99">
        <v>2.402</v>
      </c>
      <c r="F21" s="98">
        <f>-D21*E21</f>
        <v>-960800</v>
      </c>
      <c r="G21" s="41" t="s">
        <v>190</v>
      </c>
    </row>
    <row r="22" spans="1:6" ht="15.75">
      <c r="A22" s="1" t="s">
        <v>197</v>
      </c>
      <c r="B22" s="89" t="s">
        <v>188</v>
      </c>
      <c r="C22" s="91" t="s">
        <v>196</v>
      </c>
      <c r="D22" s="67">
        <f>+D21</f>
        <v>400000</v>
      </c>
      <c r="E22" s="88">
        <f>+E20-E21</f>
        <v>3.248</v>
      </c>
      <c r="F22" s="67">
        <f>D22*E22</f>
        <v>1299200</v>
      </c>
    </row>
    <row r="23" spans="1:6" ht="15.75">
      <c r="A23" s="1"/>
      <c r="B23" s="89"/>
      <c r="C23" s="91"/>
      <c r="D23" s="93"/>
      <c r="E23" s="94"/>
      <c r="F23" s="93"/>
    </row>
    <row r="24" spans="2:6" ht="15.75">
      <c r="B24" s="85" t="s">
        <v>193</v>
      </c>
      <c r="C24" s="85"/>
      <c r="D24" s="85"/>
      <c r="E24" s="85"/>
      <c r="F24" s="95">
        <f>SUM(F6:F23)-F22</f>
        <v>171900</v>
      </c>
    </row>
    <row r="25" ht="15.75">
      <c r="F25" s="78"/>
    </row>
    <row r="26" ht="15.75">
      <c r="B26" s="101" t="s">
        <v>219</v>
      </c>
    </row>
    <row r="27" spans="2:13" ht="15.75">
      <c r="B27" t="s">
        <v>221</v>
      </c>
      <c r="D27">
        <v>1</v>
      </c>
      <c r="E27">
        <f>+D27+1</f>
        <v>2</v>
      </c>
      <c r="F27">
        <f aca="true" t="shared" si="0" ref="F27:M27">+E27+1</f>
        <v>3</v>
      </c>
      <c r="G27">
        <f t="shared" si="0"/>
        <v>4</v>
      </c>
      <c r="H27">
        <f t="shared" si="0"/>
        <v>5</v>
      </c>
      <c r="I27">
        <f t="shared" si="0"/>
        <v>6</v>
      </c>
      <c r="J27">
        <f t="shared" si="0"/>
        <v>7</v>
      </c>
      <c r="K27">
        <f t="shared" si="0"/>
        <v>8</v>
      </c>
      <c r="L27">
        <f t="shared" si="0"/>
        <v>9</v>
      </c>
      <c r="M27">
        <f t="shared" si="0"/>
        <v>10</v>
      </c>
    </row>
    <row r="28" spans="4:13" ht="15.75">
      <c r="D28" s="78">
        <f>+D14</f>
        <v>-300000</v>
      </c>
      <c r="E28" s="78">
        <f>+D16</f>
        <v>-180000</v>
      </c>
      <c r="F28" s="78">
        <f>+D18</f>
        <v>-20000</v>
      </c>
      <c r="G28" s="78">
        <f>+$D$22</f>
        <v>400000</v>
      </c>
      <c r="H28" s="78">
        <f aca="true" t="shared" si="1" ref="H28:M28">+$D$22</f>
        <v>400000</v>
      </c>
      <c r="I28" s="78">
        <f t="shared" si="1"/>
        <v>400000</v>
      </c>
      <c r="J28" s="78">
        <f t="shared" si="1"/>
        <v>400000</v>
      </c>
      <c r="K28" s="78">
        <f t="shared" si="1"/>
        <v>400000</v>
      </c>
      <c r="L28" s="78">
        <f t="shared" si="1"/>
        <v>400000</v>
      </c>
      <c r="M28" s="78">
        <f t="shared" si="1"/>
        <v>400000</v>
      </c>
    </row>
    <row r="29" spans="3:13" ht="15.75">
      <c r="C29">
        <v>0.12</v>
      </c>
      <c r="D29">
        <f>1+C29</f>
        <v>1.12</v>
      </c>
      <c r="E29">
        <f>+D29</f>
        <v>1.12</v>
      </c>
      <c r="F29">
        <f aca="true" t="shared" si="2" ref="F29:M29">+E29</f>
        <v>1.12</v>
      </c>
      <c r="G29">
        <f t="shared" si="2"/>
        <v>1.12</v>
      </c>
      <c r="H29">
        <f t="shared" si="2"/>
        <v>1.12</v>
      </c>
      <c r="I29">
        <f t="shared" si="2"/>
        <v>1.12</v>
      </c>
      <c r="J29">
        <f t="shared" si="2"/>
        <v>1.12</v>
      </c>
      <c r="K29">
        <f t="shared" si="2"/>
        <v>1.12</v>
      </c>
      <c r="L29">
        <f t="shared" si="2"/>
        <v>1.12</v>
      </c>
      <c r="M29">
        <f t="shared" si="2"/>
        <v>1.12</v>
      </c>
    </row>
    <row r="30" spans="4:13" ht="15.75">
      <c r="D30">
        <f>+D29</f>
        <v>1.12</v>
      </c>
      <c r="E30">
        <f>+D30*E29</f>
        <v>1.2544000000000002</v>
      </c>
      <c r="F30">
        <f aca="true" t="shared" si="3" ref="F30:M30">+E30*F29</f>
        <v>1.4049280000000004</v>
      </c>
      <c r="G30">
        <f t="shared" si="3"/>
        <v>1.5735193600000006</v>
      </c>
      <c r="H30">
        <f t="shared" si="3"/>
        <v>1.7623416832000007</v>
      </c>
      <c r="I30">
        <f t="shared" si="3"/>
        <v>1.973822685184001</v>
      </c>
      <c r="J30">
        <f t="shared" si="3"/>
        <v>2.2106814074060814</v>
      </c>
      <c r="K30">
        <f t="shared" si="3"/>
        <v>2.4759631762948113</v>
      </c>
      <c r="L30">
        <f t="shared" si="3"/>
        <v>2.773078757450189</v>
      </c>
      <c r="M30">
        <f t="shared" si="3"/>
        <v>3.105848208344212</v>
      </c>
    </row>
    <row r="31" spans="3:13" ht="15.75">
      <c r="C31" s="103">
        <f>ROUND(SUM(D31:M31),0)</f>
        <v>873769</v>
      </c>
      <c r="D31">
        <f>+D28/D30</f>
        <v>-267857.14285714284</v>
      </c>
      <c r="E31">
        <f aca="true" t="shared" si="4" ref="E31:M31">+E28/E30</f>
        <v>-143494.89795918364</v>
      </c>
      <c r="F31">
        <f t="shared" si="4"/>
        <v>-14235.604956268218</v>
      </c>
      <c r="G31">
        <f t="shared" si="4"/>
        <v>254207.23136193244</v>
      </c>
      <c r="H31">
        <f t="shared" si="4"/>
        <v>226970.74228743967</v>
      </c>
      <c r="I31">
        <f t="shared" si="4"/>
        <v>202652.44847092824</v>
      </c>
      <c r="J31">
        <f t="shared" si="4"/>
        <v>180939.68613475733</v>
      </c>
      <c r="K31">
        <f t="shared" si="4"/>
        <v>161553.29119174762</v>
      </c>
      <c r="L31">
        <f t="shared" si="4"/>
        <v>144244.00999263176</v>
      </c>
      <c r="M31">
        <f t="shared" si="4"/>
        <v>128789.29463627837</v>
      </c>
    </row>
    <row r="32" spans="2:3" ht="15.75">
      <c r="B32" s="100" t="s">
        <v>220</v>
      </c>
      <c r="C32" s="104">
        <f>+F22+F18+F16+F14</f>
        <v>873600</v>
      </c>
    </row>
    <row r="33" spans="2:3" ht="15.75">
      <c r="B33" t="s">
        <v>198</v>
      </c>
      <c r="C33" s="102">
        <f>+C31-C32</f>
        <v>169</v>
      </c>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H21"/>
  <sheetViews>
    <sheetView zoomScalePageLayoutView="0" workbookViewId="0" topLeftCell="A1">
      <selection activeCell="A1" sqref="A1"/>
    </sheetView>
  </sheetViews>
  <sheetFormatPr defaultColWidth="9.00390625" defaultRowHeight="15.75"/>
  <cols>
    <col min="2" max="2" width="27.875" style="0" customWidth="1"/>
    <col min="3" max="6" width="10.625" style="0" customWidth="1"/>
  </cols>
  <sheetData>
    <row r="2" spans="1:6" ht="15.75">
      <c r="A2" s="100"/>
      <c r="D2" s="1" t="s">
        <v>199</v>
      </c>
      <c r="E2" s="106">
        <f>+C9</f>
        <v>0.16</v>
      </c>
      <c r="F2" s="1" t="s">
        <v>200</v>
      </c>
    </row>
    <row r="3" spans="4:6" ht="15.75">
      <c r="D3" s="1"/>
      <c r="E3" s="1" t="s">
        <v>201</v>
      </c>
      <c r="F3" s="1" t="s">
        <v>202</v>
      </c>
    </row>
    <row r="4" spans="4:6" ht="15.75">
      <c r="D4" s="1"/>
      <c r="E4" s="1"/>
      <c r="F4" s="1"/>
    </row>
    <row r="5" spans="2:7" ht="15.75">
      <c r="B5" t="s">
        <v>203</v>
      </c>
      <c r="C5" s="2">
        <f>+F5</f>
        <v>144000</v>
      </c>
      <c r="D5" s="42" t="s">
        <v>186</v>
      </c>
      <c r="E5" s="1">
        <v>1</v>
      </c>
      <c r="F5" s="107">
        <f>+F6-F10</f>
        <v>144000</v>
      </c>
      <c r="G5" s="110" t="s">
        <v>211</v>
      </c>
    </row>
    <row r="6" spans="2:7" ht="15.75">
      <c r="B6" t="s">
        <v>204</v>
      </c>
      <c r="C6" s="2">
        <v>40000</v>
      </c>
      <c r="D6" s="112" t="s">
        <v>213</v>
      </c>
      <c r="E6">
        <v>4.039</v>
      </c>
      <c r="F6" s="108">
        <f>+E6*C6</f>
        <v>161560</v>
      </c>
      <c r="G6" s="110" t="s">
        <v>210</v>
      </c>
    </row>
    <row r="7" spans="2:3" ht="15.75">
      <c r="B7" t="s">
        <v>205</v>
      </c>
      <c r="C7">
        <v>0</v>
      </c>
    </row>
    <row r="8" spans="2:4" ht="15.75">
      <c r="B8" t="s">
        <v>206</v>
      </c>
      <c r="C8">
        <v>7</v>
      </c>
      <c r="D8" t="s">
        <v>207</v>
      </c>
    </row>
    <row r="9" spans="1:6" ht="15.75">
      <c r="A9" s="100"/>
      <c r="B9" t="s">
        <v>208</v>
      </c>
      <c r="C9" s="3">
        <v>0.16</v>
      </c>
      <c r="F9" s="41"/>
    </row>
    <row r="10" spans="1:7" ht="15.75">
      <c r="A10" s="100"/>
      <c r="B10" t="s">
        <v>180</v>
      </c>
      <c r="C10" s="3"/>
      <c r="F10" s="109">
        <f>+F6-154000+10000</f>
        <v>17560</v>
      </c>
      <c r="G10" s="110" t="s">
        <v>209</v>
      </c>
    </row>
    <row r="11" spans="6:8" ht="15.75">
      <c r="F11" s="1"/>
      <c r="H11" s="5"/>
    </row>
    <row r="12" ht="15.75">
      <c r="B12" s="100" t="s">
        <v>212</v>
      </c>
    </row>
    <row r="13" ht="15.75">
      <c r="B13" s="100"/>
    </row>
    <row r="14" spans="2:4" ht="15.75">
      <c r="B14" t="s">
        <v>203</v>
      </c>
      <c r="C14" s="8">
        <f>+C5</f>
        <v>144000</v>
      </c>
      <c r="D14" s="110" t="s">
        <v>211</v>
      </c>
    </row>
    <row r="15" spans="2:3" ht="15.75">
      <c r="B15" t="s">
        <v>204</v>
      </c>
      <c r="C15" s="5">
        <f>+C6</f>
        <v>40000</v>
      </c>
    </row>
    <row r="17" spans="2:4" ht="15.75">
      <c r="B17" s="111" t="s">
        <v>197</v>
      </c>
      <c r="C17" s="102">
        <f>+C14/C15</f>
        <v>3.6</v>
      </c>
      <c r="D17" s="100" t="s">
        <v>214</v>
      </c>
    </row>
    <row r="18" ht="15.75">
      <c r="D18" s="100" t="s">
        <v>215</v>
      </c>
    </row>
    <row r="19" ht="15.75">
      <c r="D19" s="100" t="s">
        <v>216</v>
      </c>
    </row>
    <row r="20" ht="15.75">
      <c r="D20" s="100" t="s">
        <v>217</v>
      </c>
    </row>
    <row r="21" ht="15.75">
      <c r="D21" s="100" t="s">
        <v>218</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28"/>
  <sheetViews>
    <sheetView tabSelected="1" zoomScalePageLayoutView="0" workbookViewId="0" topLeftCell="A1">
      <selection activeCell="A1" sqref="A1"/>
    </sheetView>
  </sheetViews>
  <sheetFormatPr defaultColWidth="9.00390625" defaultRowHeight="15.75"/>
  <cols>
    <col min="1" max="1" width="3.625" style="116" customWidth="1"/>
    <col min="2" max="2" width="66.25390625" style="116" customWidth="1"/>
    <col min="3" max="3" width="19.25390625" style="116" customWidth="1"/>
    <col min="4" max="4" width="18.125" style="116" customWidth="1"/>
    <col min="5" max="5" width="19.375" style="116" customWidth="1"/>
    <col min="6" max="6" width="14.00390625" style="116" bestFit="1" customWidth="1"/>
    <col min="7" max="7" width="25.625" style="116" customWidth="1"/>
    <col min="8" max="8" width="15.50390625" style="116" customWidth="1"/>
    <col min="9" max="9" width="10.25390625" style="116" customWidth="1"/>
    <col min="10" max="11" width="9.00390625" style="116" customWidth="1"/>
    <col min="12" max="12" width="9.125" style="116" bestFit="1" customWidth="1"/>
    <col min="13" max="16384" width="9.00390625" style="116" customWidth="1"/>
  </cols>
  <sheetData>
    <row r="1" spans="2:8" ht="15.75" thickBot="1">
      <c r="B1" s="116" t="s">
        <v>243</v>
      </c>
      <c r="E1" s="129" t="s">
        <v>244</v>
      </c>
      <c r="F1" s="130"/>
      <c r="G1" s="131"/>
      <c r="H1" s="132" t="s">
        <v>245</v>
      </c>
    </row>
    <row r="2" spans="2:10" ht="45">
      <c r="B2" s="133" t="s">
        <v>246</v>
      </c>
      <c r="C2" s="134" t="s">
        <v>247</v>
      </c>
      <c r="D2" s="135" t="s">
        <v>248</v>
      </c>
      <c r="E2" s="136" t="s">
        <v>249</v>
      </c>
      <c r="F2" s="137" t="s">
        <v>250</v>
      </c>
      <c r="G2" s="138" t="s">
        <v>251</v>
      </c>
      <c r="H2" s="139" t="s">
        <v>252</v>
      </c>
      <c r="I2" s="140" t="s">
        <v>253</v>
      </c>
      <c r="J2" s="141" t="s">
        <v>254</v>
      </c>
    </row>
    <row r="3" spans="1:10" ht="36" customHeight="1">
      <c r="A3" s="142" t="s">
        <v>255</v>
      </c>
      <c r="B3" s="143" t="s">
        <v>256</v>
      </c>
      <c r="C3" s="144"/>
      <c r="D3" s="145"/>
      <c r="E3" s="146"/>
      <c r="F3" s="147"/>
      <c r="G3" s="147"/>
      <c r="H3" s="148"/>
      <c r="I3" s="149">
        <v>430</v>
      </c>
      <c r="J3" s="150"/>
    </row>
    <row r="4" spans="1:10" ht="36" customHeight="1">
      <c r="A4" s="142" t="s">
        <v>257</v>
      </c>
      <c r="B4" s="143" t="s">
        <v>258</v>
      </c>
      <c r="C4" s="144"/>
      <c r="D4" s="145">
        <f>G4</f>
        <v>395</v>
      </c>
      <c r="E4" s="146"/>
      <c r="F4" s="147"/>
      <c r="G4" s="147">
        <v>395</v>
      </c>
      <c r="H4" s="148"/>
      <c r="I4" s="149"/>
      <c r="J4" s="150"/>
    </row>
    <row r="5" spans="1:10" ht="36" customHeight="1">
      <c r="A5" s="142" t="s">
        <v>259</v>
      </c>
      <c r="B5" s="143" t="s">
        <v>260</v>
      </c>
      <c r="C5" s="144"/>
      <c r="D5" s="145">
        <f>G5</f>
        <v>6.944444444444444</v>
      </c>
      <c r="E5" s="146"/>
      <c r="F5" s="147"/>
      <c r="G5" s="147">
        <f>250/3/12</f>
        <v>6.944444444444444</v>
      </c>
      <c r="H5" s="148"/>
      <c r="I5" s="149"/>
      <c r="J5" s="150"/>
    </row>
    <row r="6" spans="1:10" ht="36" customHeight="1">
      <c r="A6" s="142" t="s">
        <v>261</v>
      </c>
      <c r="B6" s="143" t="s">
        <v>262</v>
      </c>
      <c r="C6" s="144"/>
      <c r="D6" s="145">
        <f>G6</f>
        <v>12.5</v>
      </c>
      <c r="E6" s="146"/>
      <c r="F6" s="147"/>
      <c r="G6" s="147">
        <f>3*150/3/12</f>
        <v>12.5</v>
      </c>
      <c r="H6" s="148"/>
      <c r="I6" s="149"/>
      <c r="J6" s="150"/>
    </row>
    <row r="7" spans="1:10" ht="45">
      <c r="A7" s="142" t="s">
        <v>263</v>
      </c>
      <c r="B7" s="143" t="s">
        <v>264</v>
      </c>
      <c r="C7" s="144">
        <f>G7</f>
        <v>0</v>
      </c>
      <c r="D7" s="145"/>
      <c r="E7" s="146"/>
      <c r="F7" s="147"/>
      <c r="G7" s="147">
        <v>0</v>
      </c>
      <c r="H7" s="148"/>
      <c r="I7" s="149"/>
      <c r="J7" s="150"/>
    </row>
    <row r="8" spans="1:10" ht="36" customHeight="1">
      <c r="A8" s="142" t="s">
        <v>265</v>
      </c>
      <c r="B8" s="151" t="s">
        <v>266</v>
      </c>
      <c r="C8" s="144">
        <f>E8</f>
        <v>1600</v>
      </c>
      <c r="D8" s="145"/>
      <c r="E8" s="146">
        <f>4*2*200</f>
        <v>1600</v>
      </c>
      <c r="F8" s="147"/>
      <c r="G8" s="147"/>
      <c r="H8" s="148"/>
      <c r="I8" s="149"/>
      <c r="J8" s="150"/>
    </row>
    <row r="9" spans="1:10" ht="36" customHeight="1">
      <c r="A9" s="142" t="s">
        <v>267</v>
      </c>
      <c r="B9" s="143" t="s">
        <v>268</v>
      </c>
      <c r="C9" s="144"/>
      <c r="D9" s="145">
        <f>F9+H9</f>
        <v>500</v>
      </c>
      <c r="E9" s="146"/>
      <c r="F9" s="147">
        <f>0.5*500</f>
        <v>250</v>
      </c>
      <c r="G9" s="147"/>
      <c r="H9" s="148">
        <f>0.5*500</f>
        <v>250</v>
      </c>
      <c r="I9" s="149"/>
      <c r="J9" s="150"/>
    </row>
    <row r="10" spans="1:10" ht="36" customHeight="1">
      <c r="A10" s="142" t="s">
        <v>269</v>
      </c>
      <c r="B10" s="143" t="s">
        <v>270</v>
      </c>
      <c r="C10" s="144">
        <f>C20*C17*0.03*2</f>
        <v>220.31999999999996</v>
      </c>
      <c r="D10" s="145">
        <v>360</v>
      </c>
      <c r="E10" s="146"/>
      <c r="F10" s="147">
        <f>2*180+C10</f>
        <v>580.3199999999999</v>
      </c>
      <c r="G10" s="147"/>
      <c r="H10" s="148"/>
      <c r="I10" s="149"/>
      <c r="J10" s="150"/>
    </row>
    <row r="11" spans="1:10" ht="36" customHeight="1">
      <c r="A11" s="142" t="s">
        <v>271</v>
      </c>
      <c r="B11" s="143" t="s">
        <v>272</v>
      </c>
      <c r="C11" s="144"/>
      <c r="D11" s="145">
        <f>J11/12</f>
        <v>30</v>
      </c>
      <c r="E11" s="146"/>
      <c r="F11" s="147"/>
      <c r="G11" s="147"/>
      <c r="H11" s="148">
        <f>J11/12</f>
        <v>30</v>
      </c>
      <c r="I11" s="149"/>
      <c r="J11" s="150">
        <f>3*120</f>
        <v>360</v>
      </c>
    </row>
    <row r="12" spans="1:10" ht="36" customHeight="1">
      <c r="A12" s="142" t="s">
        <v>273</v>
      </c>
      <c r="B12" s="143" t="s">
        <v>274</v>
      </c>
      <c r="C12" s="144"/>
      <c r="D12" s="145"/>
      <c r="E12" s="146"/>
      <c r="F12" s="147"/>
      <c r="G12" s="147"/>
      <c r="H12" s="148"/>
      <c r="I12" s="149">
        <v>3000</v>
      </c>
      <c r="J12" s="150"/>
    </row>
    <row r="13" spans="1:10" ht="36" customHeight="1" thickBot="1">
      <c r="A13" s="142" t="s">
        <v>275</v>
      </c>
      <c r="B13" s="143"/>
      <c r="C13" s="152"/>
      <c r="D13" s="153"/>
      <c r="E13" s="154"/>
      <c r="F13" s="155"/>
      <c r="G13" s="155"/>
      <c r="H13" s="156"/>
      <c r="I13" s="157"/>
      <c r="J13" s="158"/>
    </row>
    <row r="14" spans="2:9" ht="21">
      <c r="B14" s="159" t="s">
        <v>276</v>
      </c>
      <c r="C14" s="160">
        <f>SUM(C4:C13)</f>
        <v>1820.32</v>
      </c>
      <c r="D14" s="160">
        <f>SUM(D4:D13)</f>
        <v>1304.4444444444443</v>
      </c>
      <c r="E14" s="117" t="s">
        <v>277</v>
      </c>
      <c r="F14" s="160">
        <f>SUM(E7:F13)</f>
        <v>2430.3199999999997</v>
      </c>
      <c r="G14" s="161" t="s">
        <v>278</v>
      </c>
      <c r="H14" s="162">
        <f>SUM(G4:H12)</f>
        <v>694.4444444444445</v>
      </c>
      <c r="I14" s="117"/>
    </row>
    <row r="15" spans="2:9" ht="21.75" thickBot="1">
      <c r="B15" s="163" t="s">
        <v>279</v>
      </c>
      <c r="C15" s="117"/>
      <c r="D15" s="164">
        <f>D14+C14</f>
        <v>3124.764444444444</v>
      </c>
      <c r="E15" s="117"/>
      <c r="F15" s="117"/>
      <c r="G15" s="117"/>
      <c r="H15" s="164">
        <f>H14+F14</f>
        <v>3124.764444444444</v>
      </c>
      <c r="I15" s="117"/>
    </row>
    <row r="16" spans="2:9" ht="21">
      <c r="B16" s="117"/>
      <c r="C16" s="117"/>
      <c r="D16" s="117"/>
      <c r="E16" s="117"/>
      <c r="F16" s="117"/>
      <c r="G16" s="165" t="s">
        <v>280</v>
      </c>
      <c r="H16" s="166">
        <f>$G$4+$G$5+$H$9+450+J11</f>
        <v>1461.9444444444443</v>
      </c>
      <c r="I16" s="117"/>
    </row>
    <row r="17" spans="2:9" ht="21">
      <c r="B17" s="167" t="s">
        <v>306</v>
      </c>
      <c r="C17" s="168">
        <v>5.1</v>
      </c>
      <c r="D17" s="169">
        <v>6</v>
      </c>
      <c r="E17" s="169" t="s">
        <v>281</v>
      </c>
      <c r="F17" s="117"/>
      <c r="G17" s="170"/>
      <c r="H17" s="171">
        <f>$G$4+$G$5+$H$9+450</f>
        <v>1101.9444444444443</v>
      </c>
      <c r="I17" s="117"/>
    </row>
    <row r="18" spans="2:9" ht="21.75" thickBot="1">
      <c r="B18" s="167" t="s">
        <v>282</v>
      </c>
      <c r="C18" s="169">
        <v>10</v>
      </c>
      <c r="D18" s="169">
        <v>3</v>
      </c>
      <c r="E18" s="169" t="s">
        <v>283</v>
      </c>
      <c r="F18" s="117"/>
      <c r="G18" s="172"/>
      <c r="H18" s="173">
        <f>$G$4+$G$5+$H$9</f>
        <v>651.9444444444445</v>
      </c>
      <c r="I18" s="117"/>
    </row>
    <row r="19" spans="2:9" ht="21">
      <c r="B19" s="174" t="s">
        <v>284</v>
      </c>
      <c r="C19" s="175">
        <f>C18*C17*D18*D17*4</f>
        <v>3672</v>
      </c>
      <c r="D19" s="160">
        <f>D14+C14</f>
        <v>3124.764444444444</v>
      </c>
      <c r="E19" s="117"/>
      <c r="F19" s="117"/>
      <c r="G19" s="117"/>
      <c r="H19" s="117"/>
      <c r="I19" s="117"/>
    </row>
    <row r="20" spans="2:9" ht="21">
      <c r="B20" s="174" t="s">
        <v>285</v>
      </c>
      <c r="C20" s="117">
        <f>C18*D18*D17*4</f>
        <v>720</v>
      </c>
      <c r="D20" s="175"/>
      <c r="E20" s="117"/>
      <c r="F20" s="117"/>
      <c r="G20" s="117"/>
      <c r="H20" s="117"/>
      <c r="I20" s="117"/>
    </row>
    <row r="21" spans="2:9" ht="21">
      <c r="B21" s="174" t="s">
        <v>286</v>
      </c>
      <c r="C21" s="160">
        <f>ROUND(D21,2)</f>
        <v>4.34</v>
      </c>
      <c r="D21" s="160">
        <f>(C14+D14)/C20</f>
        <v>4.33995061728395</v>
      </c>
      <c r="E21" s="117"/>
      <c r="F21" s="117"/>
      <c r="G21" s="117"/>
      <c r="H21" s="117"/>
      <c r="I21" s="117"/>
    </row>
    <row r="22" spans="2:9" ht="21">
      <c r="B22" s="174" t="s">
        <v>287</v>
      </c>
      <c r="C22" s="160">
        <f>ROUND(D22,2)</f>
        <v>2.53</v>
      </c>
      <c r="D22" s="160">
        <f>C14/C20</f>
        <v>2.528222222222222</v>
      </c>
      <c r="E22" s="117"/>
      <c r="F22" s="117"/>
      <c r="G22" s="117"/>
      <c r="H22" s="117"/>
      <c r="I22" s="117"/>
    </row>
    <row r="23" spans="2:9" ht="21">
      <c r="B23" s="117"/>
      <c r="C23" s="117"/>
      <c r="D23" s="117"/>
      <c r="E23" s="117"/>
      <c r="F23" s="117"/>
      <c r="G23" s="117"/>
      <c r="H23" s="117"/>
      <c r="I23" s="117"/>
    </row>
    <row r="24" spans="2:9" ht="21.75" thickBot="1">
      <c r="B24" s="117"/>
      <c r="C24" s="117">
        <v>800</v>
      </c>
      <c r="D24" s="117"/>
      <c r="E24" s="117"/>
      <c r="F24" s="117"/>
      <c r="G24" s="117"/>
      <c r="H24" s="117"/>
      <c r="I24" s="117"/>
    </row>
    <row r="25" spans="2:9" ht="21">
      <c r="B25" s="176" t="s">
        <v>288</v>
      </c>
      <c r="C25" s="177">
        <f>C24*C22+D14</f>
        <v>3328.4444444444443</v>
      </c>
      <c r="D25" s="117"/>
      <c r="E25" s="117"/>
      <c r="F25" s="117"/>
      <c r="G25" s="117"/>
      <c r="H25" s="117"/>
      <c r="I25" s="117"/>
    </row>
    <row r="26" spans="2:9" ht="21">
      <c r="B26" s="178" t="s">
        <v>289</v>
      </c>
      <c r="C26" s="171">
        <f>C21*C24</f>
        <v>3472</v>
      </c>
      <c r="D26" s="117"/>
      <c r="E26" s="117"/>
      <c r="F26" s="117"/>
      <c r="G26" s="117"/>
      <c r="H26" s="117"/>
      <c r="I26" s="117"/>
    </row>
    <row r="27" spans="2:9" ht="21">
      <c r="B27" s="170"/>
      <c r="C27" s="171">
        <f>D15</f>
        <v>3124.764444444444</v>
      </c>
      <c r="D27" s="117"/>
      <c r="E27" s="117"/>
      <c r="F27" s="117"/>
      <c r="G27" s="117"/>
      <c r="H27" s="117"/>
      <c r="I27" s="117"/>
    </row>
    <row r="28" spans="2:9" ht="21.75" thickBot="1">
      <c r="B28" s="172"/>
      <c r="C28" s="173">
        <f>D14/C20*C24+C14</f>
        <v>3269.7027160493826</v>
      </c>
      <c r="D28" s="117"/>
      <c r="E28" s="117"/>
      <c r="F28" s="117"/>
      <c r="G28" s="117"/>
      <c r="H28" s="117"/>
      <c r="I28" s="117"/>
    </row>
  </sheetData>
  <sheetProtection/>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M16"/>
  <sheetViews>
    <sheetView zoomScalePageLayoutView="0" workbookViewId="0" topLeftCell="A1">
      <selection activeCell="A1" sqref="A1"/>
    </sheetView>
  </sheetViews>
  <sheetFormatPr defaultColWidth="9.00390625" defaultRowHeight="15.75"/>
  <cols>
    <col min="1" max="1" width="9.00390625" style="116" customWidth="1"/>
    <col min="2" max="2" width="49.375" style="116" customWidth="1"/>
    <col min="3" max="3" width="10.875" style="116" bestFit="1" customWidth="1"/>
    <col min="4" max="4" width="14.125" style="116" customWidth="1"/>
    <col min="5" max="16384" width="9.00390625" style="116" customWidth="1"/>
  </cols>
  <sheetData>
    <row r="1" ht="78.75">
      <c r="B1" s="179" t="s">
        <v>308</v>
      </c>
    </row>
    <row r="2" spans="2:4" ht="15">
      <c r="B2" s="180" t="s">
        <v>290</v>
      </c>
      <c r="C2" s="181"/>
      <c r="D2" s="181"/>
    </row>
    <row r="3" spans="2:10" ht="15.75">
      <c r="B3" s="116" t="s">
        <v>291</v>
      </c>
      <c r="C3" s="182">
        <v>75000</v>
      </c>
      <c r="D3" s="182"/>
      <c r="J3" s="183"/>
    </row>
    <row r="4" spans="1:10" ht="15.75">
      <c r="A4" s="116" t="s">
        <v>292</v>
      </c>
      <c r="B4" s="116" t="s">
        <v>293</v>
      </c>
      <c r="C4" s="182">
        <v>125000</v>
      </c>
      <c r="D4" s="184">
        <f>C3+C6</f>
        <v>78700</v>
      </c>
      <c r="J4" s="183"/>
    </row>
    <row r="5" spans="2:10" ht="15.75">
      <c r="B5" s="116" t="s">
        <v>294</v>
      </c>
      <c r="C5" s="182">
        <f>C4+C3</f>
        <v>200000</v>
      </c>
      <c r="D5" s="184">
        <f>C5</f>
        <v>200000</v>
      </c>
      <c r="J5" s="185"/>
    </row>
    <row r="6" spans="1:10" ht="15.75">
      <c r="A6" s="116" t="s">
        <v>295</v>
      </c>
      <c r="B6" s="116" t="s">
        <v>296</v>
      </c>
      <c r="C6" s="182">
        <v>3700</v>
      </c>
      <c r="D6" s="186">
        <f>C5-C6</f>
        <v>196300</v>
      </c>
      <c r="J6" s="183"/>
    </row>
    <row r="7" spans="4:11" ht="15">
      <c r="D7" s="184">
        <f>C4-C6</f>
        <v>121300</v>
      </c>
      <c r="K7" s="187"/>
    </row>
    <row r="8" spans="11:12" ht="15">
      <c r="K8" s="188"/>
      <c r="L8" s="188"/>
    </row>
    <row r="9" spans="10:12" ht="15">
      <c r="J9" s="188"/>
      <c r="K9" s="188"/>
      <c r="L9" s="188"/>
    </row>
    <row r="10" spans="11:12" ht="15">
      <c r="K10" s="188"/>
      <c r="L10" s="188"/>
    </row>
    <row r="11" spans="10:13" ht="15">
      <c r="J11" s="188"/>
      <c r="K11" s="188"/>
      <c r="L11" s="188"/>
      <c r="M11" s="188"/>
    </row>
    <row r="12" ht="15">
      <c r="J12" s="189"/>
    </row>
    <row r="14" ht="15">
      <c r="J14" s="190"/>
    </row>
    <row r="15" ht="15">
      <c r="J15" s="190"/>
    </row>
    <row r="16" ht="15">
      <c r="J16" s="190"/>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2:F21"/>
  <sheetViews>
    <sheetView zoomScalePageLayoutView="0" workbookViewId="0" topLeftCell="A1">
      <selection activeCell="M30" sqref="M30"/>
    </sheetView>
  </sheetViews>
  <sheetFormatPr defaultColWidth="9.00390625" defaultRowHeight="15.75"/>
  <cols>
    <col min="1" max="1" width="3.375" style="116" customWidth="1"/>
    <col min="2" max="2" width="45.375" style="116" customWidth="1"/>
    <col min="3" max="4" width="16.875" style="116" bestFit="1" customWidth="1"/>
    <col min="5" max="5" width="19.00390625" style="116" bestFit="1" customWidth="1"/>
    <col min="6" max="16384" width="9.00390625" style="116" customWidth="1"/>
  </cols>
  <sheetData>
    <row r="2" spans="2:5" ht="21">
      <c r="B2" s="117" t="s">
        <v>223</v>
      </c>
      <c r="C2" s="117" t="s">
        <v>224</v>
      </c>
      <c r="D2" s="117" t="s">
        <v>225</v>
      </c>
      <c r="E2" s="117" t="s">
        <v>226</v>
      </c>
    </row>
    <row r="3" spans="2:6" ht="21">
      <c r="B3" s="117" t="s">
        <v>227</v>
      </c>
      <c r="C3" s="118">
        <v>750000</v>
      </c>
      <c r="D3" s="118">
        <v>450000</v>
      </c>
      <c r="E3" s="119">
        <f>E7*E5</f>
        <v>1200000</v>
      </c>
      <c r="F3" s="120" t="s">
        <v>228</v>
      </c>
    </row>
    <row r="4" spans="2:6" ht="21">
      <c r="B4" s="117" t="s">
        <v>229</v>
      </c>
      <c r="C4" s="118">
        <v>34000</v>
      </c>
      <c r="D4" s="118">
        <v>57000</v>
      </c>
      <c r="E4" s="119">
        <f>E3*E6</f>
        <v>84000.00000000001</v>
      </c>
      <c r="F4" s="120" t="s">
        <v>230</v>
      </c>
    </row>
    <row r="5" spans="2:5" ht="21">
      <c r="B5" s="117" t="s">
        <v>231</v>
      </c>
      <c r="C5" s="118">
        <v>250000</v>
      </c>
      <c r="D5" s="119">
        <f>D7*D3</f>
        <v>461842.1052631578</v>
      </c>
      <c r="E5" s="118">
        <v>600000</v>
      </c>
    </row>
    <row r="6" spans="2:5" ht="21">
      <c r="B6" s="117" t="s">
        <v>232</v>
      </c>
      <c r="C6" s="121">
        <f>C4/C3</f>
        <v>0.04533333333333334</v>
      </c>
      <c r="D6" s="121">
        <f>D4/D3</f>
        <v>0.12666666666666668</v>
      </c>
      <c r="E6" s="122">
        <v>0.07</v>
      </c>
    </row>
    <row r="7" spans="2:5" ht="21">
      <c r="B7" s="117" t="s">
        <v>233</v>
      </c>
      <c r="C7" s="123">
        <f>C3/C5</f>
        <v>3</v>
      </c>
      <c r="D7" s="124">
        <f>D8/D6</f>
        <v>1.026315789473684</v>
      </c>
      <c r="E7" s="117">
        <v>2</v>
      </c>
    </row>
    <row r="8" spans="2:5" ht="21">
      <c r="B8" s="117" t="s">
        <v>234</v>
      </c>
      <c r="C8" s="121">
        <f>C6*C7</f>
        <v>0.136</v>
      </c>
      <c r="D8" s="122">
        <v>0.13</v>
      </c>
      <c r="E8" s="121">
        <f>E6*E7</f>
        <v>0.14</v>
      </c>
    </row>
    <row r="9" spans="3:4" ht="15">
      <c r="C9" s="116">
        <f>C3/C4</f>
        <v>22.058823529411764</v>
      </c>
      <c r="D9" s="116" t="s">
        <v>235</v>
      </c>
    </row>
    <row r="10" spans="1:2" ht="15">
      <c r="A10" s="116">
        <v>2</v>
      </c>
      <c r="B10" s="116" t="s">
        <v>236</v>
      </c>
    </row>
    <row r="11" ht="15.75">
      <c r="B11" s="125" t="s">
        <v>237</v>
      </c>
    </row>
    <row r="12" ht="15.75">
      <c r="B12" s="125" t="s">
        <v>238</v>
      </c>
    </row>
    <row r="13" ht="15.75">
      <c r="B13" s="125" t="s">
        <v>239</v>
      </c>
    </row>
    <row r="14" ht="15.75">
      <c r="B14" s="125" t="s">
        <v>240</v>
      </c>
    </row>
    <row r="15" ht="15.75">
      <c r="B15" s="125" t="s">
        <v>241</v>
      </c>
    </row>
    <row r="16" ht="15.75">
      <c r="B16" s="126"/>
    </row>
    <row r="17" ht="15.75">
      <c r="B17" s="127" t="s">
        <v>242</v>
      </c>
    </row>
    <row r="18" ht="15.75">
      <c r="B18" s="126"/>
    </row>
    <row r="19" ht="15.75">
      <c r="B19" s="128"/>
    </row>
    <row r="20" ht="15.75">
      <c r="B20" s="126"/>
    </row>
    <row r="21" ht="15.75">
      <c r="B21" s="12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D6"/>
  <sheetViews>
    <sheetView zoomScalePageLayoutView="0" workbookViewId="0" topLeftCell="A1">
      <selection activeCell="A1" sqref="A1"/>
    </sheetView>
  </sheetViews>
  <sheetFormatPr defaultColWidth="9.00390625" defaultRowHeight="15.75"/>
  <cols>
    <col min="2" max="2" width="13.875" style="0" customWidth="1"/>
    <col min="3" max="3" width="11.00390625" style="0" customWidth="1"/>
    <col min="4" max="4" width="11.375" style="0" bestFit="1" customWidth="1"/>
    <col min="6" max="6" width="5.125" style="0" customWidth="1"/>
    <col min="7" max="7" width="11.125" style="0" customWidth="1"/>
    <col min="8" max="8" width="11.375" style="0" bestFit="1" customWidth="1"/>
  </cols>
  <sheetData>
    <row r="2" spans="2:4" ht="15.75">
      <c r="B2" t="s">
        <v>4</v>
      </c>
      <c r="C2" s="2">
        <f>+C3/D3</f>
        <v>960000</v>
      </c>
      <c r="D2" s="3">
        <v>1</v>
      </c>
    </row>
    <row r="3" spans="2:4" ht="15.75">
      <c r="B3" t="s">
        <v>16</v>
      </c>
      <c r="C3" s="4">
        <v>720000</v>
      </c>
      <c r="D3" s="3">
        <f>+D2-D4</f>
        <v>0.75</v>
      </c>
    </row>
    <row r="4" spans="2:4" ht="15.75">
      <c r="B4" t="s">
        <v>17</v>
      </c>
      <c r="C4" s="2">
        <f>+C2-C3</f>
        <v>240000</v>
      </c>
      <c r="D4" s="3">
        <v>0.25</v>
      </c>
    </row>
    <row r="5" spans="2:3" ht="15.75">
      <c r="B5" t="s">
        <v>6</v>
      </c>
      <c r="C5" s="3">
        <f>+(1-0.6)</f>
        <v>0.4</v>
      </c>
    </row>
    <row r="6" spans="2:3" ht="15.75">
      <c r="B6" t="s">
        <v>9</v>
      </c>
      <c r="C6" s="6">
        <f>+C5*C4</f>
        <v>96000</v>
      </c>
    </row>
  </sheetData>
  <sheetProtection/>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2:E14"/>
  <sheetViews>
    <sheetView zoomScalePageLayoutView="0" workbookViewId="0" topLeftCell="A1">
      <selection activeCell="A1" sqref="A1"/>
    </sheetView>
  </sheetViews>
  <sheetFormatPr defaultColWidth="9.00390625" defaultRowHeight="15.75"/>
  <cols>
    <col min="1" max="1" width="48.125" style="116" bestFit="1" customWidth="1"/>
    <col min="2" max="2" width="15.50390625" style="116" bestFit="1" customWidth="1"/>
    <col min="3" max="3" width="16.25390625" style="116" bestFit="1" customWidth="1"/>
    <col min="4" max="4" width="9.00390625" style="116" customWidth="1"/>
    <col min="5" max="5" width="9.125" style="116" bestFit="1" customWidth="1"/>
    <col min="6" max="16384" width="9.00390625" style="116" customWidth="1"/>
  </cols>
  <sheetData>
    <row r="2" spans="1:3" ht="21">
      <c r="A2" s="191" t="s">
        <v>297</v>
      </c>
      <c r="C2" s="116" t="s">
        <v>48</v>
      </c>
    </row>
    <row r="3" spans="1:2" ht="21">
      <c r="A3" s="191" t="s">
        <v>298</v>
      </c>
      <c r="B3" s="117">
        <v>8640</v>
      </c>
    </row>
    <row r="4" spans="1:3" ht="21">
      <c r="A4" s="191" t="s">
        <v>299</v>
      </c>
      <c r="B4" s="192">
        <v>5.5</v>
      </c>
      <c r="C4" s="192">
        <f>B3*B4</f>
        <v>47520</v>
      </c>
    </row>
    <row r="5" spans="1:3" ht="21">
      <c r="A5" s="191" t="s">
        <v>300</v>
      </c>
      <c r="B5" s="192">
        <v>2.552222222222222</v>
      </c>
      <c r="C5" s="192">
        <f>-B5*B3</f>
        <v>-22051.199999999997</v>
      </c>
    </row>
    <row r="6" spans="1:3" ht="21">
      <c r="A6" s="191" t="s">
        <v>301</v>
      </c>
      <c r="B6" s="192">
        <v>15160</v>
      </c>
      <c r="C6" s="192">
        <f>-B6</f>
        <v>-15160</v>
      </c>
    </row>
    <row r="7" spans="1:3" ht="21">
      <c r="A7" s="191" t="s">
        <v>302</v>
      </c>
      <c r="B7" s="192">
        <v>7500</v>
      </c>
      <c r="C7" s="192"/>
    </row>
    <row r="8" spans="1:3" ht="21">
      <c r="A8" s="191" t="s">
        <v>303</v>
      </c>
      <c r="C8" s="118">
        <f>SUM(C4:C7)</f>
        <v>10308.800000000003</v>
      </c>
    </row>
    <row r="9" ht="21">
      <c r="A9" s="117" t="s">
        <v>304</v>
      </c>
    </row>
    <row r="11" spans="1:5" ht="21">
      <c r="A11" s="193" t="s">
        <v>305</v>
      </c>
      <c r="B11" s="194"/>
      <c r="C11" s="195">
        <f>C8-B7*0.12</f>
        <v>9408.800000000003</v>
      </c>
      <c r="E11" s="196">
        <f>ROUND(C11,2)</f>
        <v>9408.8</v>
      </c>
    </row>
    <row r="12" ht="15">
      <c r="C12" s="197">
        <f>B3*B4</f>
        <v>47520</v>
      </c>
    </row>
    <row r="13" ht="15">
      <c r="C13" s="197">
        <f>B5*B3</f>
        <v>22051.199999999997</v>
      </c>
    </row>
    <row r="14" ht="15">
      <c r="C14" s="197">
        <f>B7+C8</f>
        <v>17808.800000000003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G28"/>
  <sheetViews>
    <sheetView zoomScalePageLayoutView="0" workbookViewId="0" topLeftCell="A1">
      <selection activeCell="A1" sqref="A1"/>
    </sheetView>
  </sheetViews>
  <sheetFormatPr defaultColWidth="9.00390625" defaultRowHeight="15.75"/>
  <cols>
    <col min="2" max="2" width="13.875" style="0" customWidth="1"/>
    <col min="3" max="3" width="11.00390625" style="0" customWidth="1"/>
    <col min="4" max="4" width="3.50390625" style="21" customWidth="1"/>
    <col min="5" max="5" width="11.875" style="0" bestFit="1" customWidth="1"/>
    <col min="6" max="6" width="8.25390625" style="0" customWidth="1"/>
    <col min="7" max="7" width="6.125" style="0" customWidth="1"/>
    <col min="8" max="8" width="5.125" style="0" customWidth="1"/>
  </cols>
  <sheetData>
    <row r="2" ht="15.75">
      <c r="B2" t="s">
        <v>18</v>
      </c>
    </row>
    <row r="3" spans="3:7" ht="15.75">
      <c r="C3" s="1" t="s">
        <v>3</v>
      </c>
      <c r="D3" s="22"/>
      <c r="E3" s="1" t="s">
        <v>2</v>
      </c>
      <c r="F3" s="1"/>
      <c r="G3" s="1" t="s">
        <v>13</v>
      </c>
    </row>
    <row r="4" spans="3:4" ht="15.75">
      <c r="C4" s="5"/>
      <c r="D4" s="23"/>
    </row>
    <row r="5" spans="2:6" ht="15.75">
      <c r="B5" t="s">
        <v>4</v>
      </c>
      <c r="C5" s="9">
        <f>+E5*E17</f>
        <v>326999.99999999924</v>
      </c>
      <c r="D5" s="24" t="s">
        <v>24</v>
      </c>
      <c r="E5" s="16">
        <f>7.5*1.33333333333333</f>
        <v>9.999999999999975</v>
      </c>
      <c r="F5" s="15"/>
    </row>
    <row r="6" spans="2:6" ht="15.75">
      <c r="B6" t="s">
        <v>5</v>
      </c>
      <c r="C6" s="11">
        <f>+E6*E17</f>
        <v>98099.99999999978</v>
      </c>
      <c r="D6" s="25" t="s">
        <v>23</v>
      </c>
      <c r="E6" s="17">
        <f>2.25*1.33333333333333</f>
        <v>2.9999999999999925</v>
      </c>
      <c r="F6" s="19"/>
    </row>
    <row r="7" spans="2:7" ht="15.75">
      <c r="B7" t="s">
        <v>6</v>
      </c>
      <c r="C7" s="9">
        <f>+C8+C9</f>
        <v>228899.99999999948</v>
      </c>
      <c r="D7" s="24" t="s">
        <v>22</v>
      </c>
      <c r="E7" s="10">
        <f>+E5-E6</f>
        <v>6.999999999999982</v>
      </c>
      <c r="F7" s="10" t="s">
        <v>19</v>
      </c>
      <c r="G7" s="13">
        <f>+E7/E5</f>
        <v>0.7</v>
      </c>
    </row>
    <row r="8" spans="2:4" ht="15.75">
      <c r="B8" t="s">
        <v>7</v>
      </c>
      <c r="C8" s="11">
        <f>+E13</f>
        <v>209999.99999999948</v>
      </c>
      <c r="D8" s="20" t="s">
        <v>21</v>
      </c>
    </row>
    <row r="9" spans="2:4" ht="15.75">
      <c r="B9" t="s">
        <v>9</v>
      </c>
      <c r="C9" s="18">
        <v>18900</v>
      </c>
      <c r="D9" s="24"/>
    </row>
    <row r="11" spans="2:6" ht="15.75">
      <c r="B11" t="s">
        <v>1</v>
      </c>
      <c r="C11" s="18">
        <v>30000</v>
      </c>
      <c r="D11" s="24"/>
      <c r="E11" t="s">
        <v>8</v>
      </c>
      <c r="F11" t="s">
        <v>20</v>
      </c>
    </row>
    <row r="13" spans="2:6" ht="15.75">
      <c r="B13" t="s">
        <v>12</v>
      </c>
      <c r="E13" s="9">
        <f>+C11*E7</f>
        <v>209999.99999999948</v>
      </c>
      <c r="F13" t="s">
        <v>25</v>
      </c>
    </row>
    <row r="15" spans="2:6" ht="15.75">
      <c r="B15" t="s">
        <v>10</v>
      </c>
      <c r="E15" s="9">
        <f>+C9/E7</f>
        <v>2700.000000000007</v>
      </c>
      <c r="F15" s="9" t="s">
        <v>26</v>
      </c>
    </row>
    <row r="16" spans="2:6" ht="15.75">
      <c r="B16" t="s">
        <v>1</v>
      </c>
      <c r="E16" s="8">
        <f>+C11</f>
        <v>30000</v>
      </c>
      <c r="F16" s="5"/>
    </row>
    <row r="17" spans="2:6" ht="15.75">
      <c r="B17" t="s">
        <v>32</v>
      </c>
      <c r="E17" s="9">
        <f>+E16+E15</f>
        <v>32700.000000000007</v>
      </c>
      <c r="F17" s="9" t="s">
        <v>27</v>
      </c>
    </row>
    <row r="18" ht="15.75">
      <c r="B18" t="s">
        <v>28</v>
      </c>
    </row>
    <row r="19" spans="2:6" ht="15.75">
      <c r="B19" t="s">
        <v>4</v>
      </c>
      <c r="E19" s="5">
        <f>+C5</f>
        <v>326999.99999999924</v>
      </c>
      <c r="F19" t="s">
        <v>24</v>
      </c>
    </row>
    <row r="20" spans="2:5" ht="15.75">
      <c r="B20" t="s">
        <v>29</v>
      </c>
      <c r="E20" s="26">
        <f>+E5</f>
        <v>9.999999999999975</v>
      </c>
    </row>
    <row r="21" spans="2:5" ht="15.75">
      <c r="B21" t="s">
        <v>32</v>
      </c>
      <c r="E21" s="27">
        <f>+E19/E20</f>
        <v>32700.000000000007</v>
      </c>
    </row>
    <row r="23" ht="15.75">
      <c r="B23" t="s">
        <v>14</v>
      </c>
    </row>
    <row r="24" spans="2:5" ht="15.75">
      <c r="B24" t="s">
        <v>32</v>
      </c>
      <c r="E24" s="5">
        <f>+E17</f>
        <v>32700.000000000007</v>
      </c>
    </row>
    <row r="25" spans="2:5" ht="15.75">
      <c r="B25" t="s">
        <v>15</v>
      </c>
      <c r="E25" s="11">
        <v>500</v>
      </c>
    </row>
    <row r="26" spans="2:5" ht="15.75">
      <c r="B26" t="s">
        <v>31</v>
      </c>
      <c r="E26" s="23">
        <f>+E24+E25</f>
        <v>33200.00000000001</v>
      </c>
    </row>
    <row r="27" spans="2:5" ht="15.75">
      <c r="B27" t="s">
        <v>0</v>
      </c>
      <c r="E27" s="12">
        <v>9</v>
      </c>
    </row>
    <row r="28" spans="2:5" ht="15.75">
      <c r="B28" t="s">
        <v>30</v>
      </c>
      <c r="E28" s="7">
        <f>+E27*E26</f>
        <v>298800.00000000006</v>
      </c>
    </row>
  </sheetData>
  <sheetProtection/>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G18"/>
  <sheetViews>
    <sheetView zoomScalePageLayoutView="0" workbookViewId="0" topLeftCell="A1">
      <selection activeCell="A1" sqref="A1"/>
    </sheetView>
  </sheetViews>
  <sheetFormatPr defaultColWidth="9.00390625" defaultRowHeight="15.75"/>
  <cols>
    <col min="2" max="2" width="2.75390625" style="0" customWidth="1"/>
    <col min="3" max="3" width="19.875" style="0" customWidth="1"/>
  </cols>
  <sheetData>
    <row r="2" spans="3:7" ht="15.75">
      <c r="C2" t="s">
        <v>41</v>
      </c>
      <c r="G2">
        <v>10000</v>
      </c>
    </row>
    <row r="4" spans="4:7" ht="15.75">
      <c r="D4" s="1" t="s">
        <v>44</v>
      </c>
      <c r="E4" s="1" t="s">
        <v>45</v>
      </c>
      <c r="F4" s="1" t="s">
        <v>46</v>
      </c>
      <c r="G4" s="1" t="s">
        <v>47</v>
      </c>
    </row>
    <row r="6" spans="2:7" ht="15.75">
      <c r="B6" t="s">
        <v>0</v>
      </c>
      <c r="D6" s="30">
        <v>70</v>
      </c>
      <c r="E6" s="30">
        <v>81</v>
      </c>
      <c r="F6" s="30">
        <v>90</v>
      </c>
      <c r="G6" s="30">
        <v>100</v>
      </c>
    </row>
    <row r="7" spans="4:7" ht="15.75">
      <c r="D7" s="30"/>
      <c r="E7" s="30"/>
      <c r="F7" s="30"/>
      <c r="G7" s="30"/>
    </row>
    <row r="8" spans="2:7" ht="15.75">
      <c r="B8" t="s">
        <v>35</v>
      </c>
      <c r="D8" s="30"/>
      <c r="E8" s="30"/>
      <c r="F8" s="30"/>
      <c r="G8" s="30"/>
    </row>
    <row r="9" spans="3:7" ht="15.75">
      <c r="C9" t="s">
        <v>36</v>
      </c>
      <c r="D9" s="30">
        <v>15</v>
      </c>
      <c r="E9" s="30">
        <v>18</v>
      </c>
      <c r="F9" s="30">
        <v>24</v>
      </c>
      <c r="G9" s="30">
        <v>24</v>
      </c>
    </row>
    <row r="10" spans="3:7" ht="15.75">
      <c r="C10" t="s">
        <v>37</v>
      </c>
      <c r="D10" s="31">
        <v>24</v>
      </c>
      <c r="E10" s="31">
        <v>24</v>
      </c>
      <c r="F10" s="31">
        <v>24</v>
      </c>
      <c r="G10" s="31">
        <v>36</v>
      </c>
    </row>
    <row r="11" spans="3:7" ht="15.75">
      <c r="C11" t="s">
        <v>38</v>
      </c>
      <c r="D11" s="30">
        <f>+D9+D10</f>
        <v>39</v>
      </c>
      <c r="E11" s="30">
        <f>+E9+E10</f>
        <v>42</v>
      </c>
      <c r="F11" s="30">
        <f>+F9+F10</f>
        <v>48</v>
      </c>
      <c r="G11" s="30">
        <f>+G9+G10</f>
        <v>60</v>
      </c>
    </row>
    <row r="12" spans="2:7" ht="15.75">
      <c r="B12" t="s">
        <v>39</v>
      </c>
      <c r="D12" s="30">
        <f>+D6-D11</f>
        <v>31</v>
      </c>
      <c r="E12" s="30">
        <f>+E6-E11</f>
        <v>39</v>
      </c>
      <c r="F12" s="30">
        <f>+F6-F11</f>
        <v>42</v>
      </c>
      <c r="G12" s="30">
        <f>+G6-G11</f>
        <v>40</v>
      </c>
    </row>
    <row r="13" spans="4:7" ht="15.75">
      <c r="D13" s="30"/>
      <c r="E13" s="30"/>
      <c r="F13" s="30"/>
      <c r="G13" s="30"/>
    </row>
    <row r="14" spans="3:7" ht="15.75">
      <c r="C14" t="s">
        <v>40</v>
      </c>
      <c r="D14" s="30">
        <v>3</v>
      </c>
      <c r="E14" s="30">
        <v>3</v>
      </c>
      <c r="F14" s="30">
        <v>3</v>
      </c>
      <c r="G14" s="30">
        <v>3</v>
      </c>
    </row>
    <row r="16" spans="3:7" ht="15.75">
      <c r="C16" t="s">
        <v>42</v>
      </c>
      <c r="D16">
        <f>+D9/D14</f>
        <v>5</v>
      </c>
      <c r="E16">
        <f>+E9/E14</f>
        <v>6</v>
      </c>
      <c r="F16">
        <f>+F9/F14</f>
        <v>8</v>
      </c>
      <c r="G16">
        <f>+G9/G14</f>
        <v>8</v>
      </c>
    </row>
    <row r="18" spans="3:7" ht="15.75">
      <c r="C18" t="s">
        <v>43</v>
      </c>
      <c r="D18" s="30">
        <f>+D12/D16</f>
        <v>6.2</v>
      </c>
      <c r="E18" s="30">
        <f>+E12/E16</f>
        <v>6.5</v>
      </c>
      <c r="F18" s="30">
        <f>+F12/F16</f>
        <v>5.25</v>
      </c>
      <c r="G18" s="30">
        <f>+G12/G16</f>
        <v>5</v>
      </c>
    </row>
  </sheetData>
  <sheetProtection/>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G17"/>
  <sheetViews>
    <sheetView zoomScalePageLayoutView="0" workbookViewId="0" topLeftCell="A1">
      <selection activeCell="A2" sqref="A2"/>
    </sheetView>
  </sheetViews>
  <sheetFormatPr defaultColWidth="9.00390625" defaultRowHeight="15.75"/>
  <cols>
    <col min="1" max="1" width="5.50390625" style="0" customWidth="1"/>
    <col min="2" max="2" width="15.625" style="0" customWidth="1"/>
    <col min="3" max="3" width="10.375" style="0" bestFit="1" customWidth="1"/>
    <col min="4" max="4" width="11.375" style="0" bestFit="1" customWidth="1"/>
    <col min="5" max="5" width="10.375" style="0" bestFit="1" customWidth="1"/>
    <col min="6" max="6" width="13.00390625" style="0" customWidth="1"/>
    <col min="7" max="7" width="13.25390625" style="0" customWidth="1"/>
  </cols>
  <sheetData>
    <row r="2" spans="3:6" ht="15.75">
      <c r="C2" s="37" t="s">
        <v>58</v>
      </c>
      <c r="D2" t="s">
        <v>59</v>
      </c>
      <c r="E2" s="38"/>
      <c r="F2" t="s">
        <v>60</v>
      </c>
    </row>
    <row r="3" spans="3:7" ht="15.75">
      <c r="C3" s="37" t="s">
        <v>61</v>
      </c>
      <c r="D3">
        <v>1</v>
      </c>
      <c r="E3" s="38" t="s">
        <v>62</v>
      </c>
      <c r="F3" s="35">
        <v>150000</v>
      </c>
      <c r="G3" s="36" t="s">
        <v>8</v>
      </c>
    </row>
    <row r="4" spans="3:7" ht="15.75">
      <c r="C4" s="37" t="s">
        <v>2</v>
      </c>
      <c r="D4" s="1" t="s">
        <v>63</v>
      </c>
      <c r="E4" s="37" t="s">
        <v>64</v>
      </c>
      <c r="F4" s="1" t="s">
        <v>63</v>
      </c>
      <c r="G4" s="1" t="s">
        <v>64</v>
      </c>
    </row>
    <row r="5" spans="3:6" ht="15.75">
      <c r="C5" s="38"/>
      <c r="D5" s="1"/>
      <c r="E5" s="37"/>
      <c r="F5" s="1"/>
    </row>
    <row r="6" spans="2:6" ht="15.75">
      <c r="B6" t="s">
        <v>36</v>
      </c>
      <c r="C6" s="39">
        <v>8</v>
      </c>
      <c r="D6" s="10">
        <f>+C6</f>
        <v>8</v>
      </c>
      <c r="E6" s="39"/>
      <c r="F6" s="5">
        <f>+D6*F3</f>
        <v>1200000</v>
      </c>
    </row>
    <row r="7" spans="2:6" ht="15.75">
      <c r="B7" t="s">
        <v>65</v>
      </c>
      <c r="C7" s="39">
        <v>7</v>
      </c>
      <c r="D7" s="10">
        <f>+C7</f>
        <v>7</v>
      </c>
      <c r="E7" s="39"/>
      <c r="F7" s="5">
        <f>+D7*F3</f>
        <v>1050000</v>
      </c>
    </row>
    <row r="8" spans="2:6" ht="15.75">
      <c r="B8" t="s">
        <v>66</v>
      </c>
      <c r="C8" s="39">
        <v>2</v>
      </c>
      <c r="D8" s="10">
        <f>+C8</f>
        <v>2</v>
      </c>
      <c r="E8" s="39"/>
      <c r="F8" s="5">
        <f>+D8*F3</f>
        <v>300000</v>
      </c>
    </row>
    <row r="9" spans="2:6" ht="15.75">
      <c r="B9" t="s">
        <v>67</v>
      </c>
      <c r="C9" s="39">
        <v>20</v>
      </c>
      <c r="D9" s="10">
        <f>+C9-7</f>
        <v>13</v>
      </c>
      <c r="E9" s="39"/>
      <c r="F9" s="5">
        <f>+D9*F3</f>
        <v>1950000</v>
      </c>
    </row>
    <row r="10" spans="2:6" ht="15.75">
      <c r="B10" t="s">
        <v>72</v>
      </c>
      <c r="C10" s="39"/>
      <c r="D10" s="10">
        <f>+F10/F3</f>
        <v>5</v>
      </c>
      <c r="E10" s="39"/>
      <c r="F10" s="9">
        <v>750000</v>
      </c>
    </row>
    <row r="11" spans="2:7" ht="15.75">
      <c r="B11" t="s">
        <v>68</v>
      </c>
      <c r="C11" s="40"/>
      <c r="D11" s="12"/>
      <c r="E11" s="40">
        <v>34</v>
      </c>
      <c r="F11" s="12"/>
      <c r="G11" s="11">
        <f>+E11*F3</f>
        <v>5100000</v>
      </c>
    </row>
    <row r="12" spans="2:7" ht="15.75">
      <c r="B12" t="s">
        <v>3</v>
      </c>
      <c r="C12" s="39">
        <f>SUM(C6:C11)</f>
        <v>37</v>
      </c>
      <c r="D12" s="15">
        <f>SUM(D6:D11)</f>
        <v>35</v>
      </c>
      <c r="E12" s="39">
        <f>SUM(E6:E11)</f>
        <v>34</v>
      </c>
      <c r="F12" s="9">
        <f>SUM(F6:F11)</f>
        <v>5250000</v>
      </c>
      <c r="G12" s="9">
        <f>SUM(G6:G11)</f>
        <v>5100000</v>
      </c>
    </row>
    <row r="13" spans="2:7" ht="15.75">
      <c r="B13" t="s">
        <v>69</v>
      </c>
      <c r="G13" s="7">
        <f>+F12-G12</f>
        <v>150000</v>
      </c>
    </row>
    <row r="14" spans="3:5" ht="15.75">
      <c r="C14" s="10"/>
      <c r="D14" s="10"/>
      <c r="E14" s="10"/>
    </row>
    <row r="15" spans="2:5" ht="15.75">
      <c r="B15" t="s">
        <v>70</v>
      </c>
      <c r="C15" s="10"/>
      <c r="D15" s="15">
        <f>+D6+D7+D8+D9</f>
        <v>30</v>
      </c>
      <c r="E15" s="10"/>
    </row>
    <row r="17" ht="15.75">
      <c r="B17" t="s">
        <v>71</v>
      </c>
    </row>
  </sheetData>
  <sheetProtection/>
  <printOptions/>
  <pageMargins left="0.75" right="0.75" top="1" bottom="1" header="0.5" footer="0.5"/>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2:F24"/>
  <sheetViews>
    <sheetView zoomScalePageLayoutView="0" workbookViewId="0" topLeftCell="A1">
      <selection activeCell="A1" sqref="A1"/>
    </sheetView>
  </sheetViews>
  <sheetFormatPr defaultColWidth="9.00390625" defaultRowHeight="15.75"/>
  <cols>
    <col min="1" max="1" width="5.50390625" style="0" customWidth="1"/>
    <col min="2" max="2" width="15.625" style="0" customWidth="1"/>
    <col min="3" max="3" width="10.375" style="0" bestFit="1" customWidth="1"/>
    <col min="4" max="4" width="11.375" style="0" bestFit="1" customWidth="1"/>
    <col min="5" max="5" width="10.375" style="0" bestFit="1" customWidth="1"/>
    <col min="6" max="6" width="13.00390625" style="0" customWidth="1"/>
    <col min="7" max="7" width="13.25390625" style="0" customWidth="1"/>
  </cols>
  <sheetData>
    <row r="2" spans="2:6" ht="15.75">
      <c r="B2" t="s">
        <v>78</v>
      </c>
      <c r="E2" s="9">
        <v>2000</v>
      </c>
      <c r="F2" t="s">
        <v>8</v>
      </c>
    </row>
    <row r="4" spans="4:5" ht="15.75">
      <c r="D4" s="1" t="s">
        <v>2</v>
      </c>
      <c r="E4" s="1" t="s">
        <v>48</v>
      </c>
    </row>
    <row r="5" ht="15.75">
      <c r="E5" s="9"/>
    </row>
    <row r="6" spans="2:5" ht="15.75">
      <c r="B6" t="s">
        <v>49</v>
      </c>
      <c r="D6" s="32">
        <v>250</v>
      </c>
      <c r="E6" s="9"/>
    </row>
    <row r="7" spans="2:5" ht="15.75">
      <c r="B7" t="s">
        <v>73</v>
      </c>
      <c r="D7" s="32"/>
      <c r="E7" s="9"/>
    </row>
    <row r="8" spans="2:5" ht="15.75">
      <c r="B8" t="s">
        <v>74</v>
      </c>
      <c r="D8" s="32">
        <v>140</v>
      </c>
      <c r="E8" s="9"/>
    </row>
    <row r="9" spans="2:5" ht="15.75">
      <c r="B9" t="s">
        <v>75</v>
      </c>
      <c r="D9" s="32">
        <v>12</v>
      </c>
      <c r="E9" s="9"/>
    </row>
    <row r="10" spans="2:5" ht="15.75">
      <c r="B10" t="s">
        <v>76</v>
      </c>
      <c r="D10" s="32"/>
      <c r="E10" s="9"/>
    </row>
    <row r="11" spans="2:5" ht="15.75">
      <c r="B11" t="s">
        <v>74</v>
      </c>
      <c r="D11" s="32">
        <f>+E11/E2</f>
        <v>16</v>
      </c>
      <c r="E11" s="9">
        <v>32000</v>
      </c>
    </row>
    <row r="12" spans="2:5" ht="15.75">
      <c r="B12" t="s">
        <v>75</v>
      </c>
      <c r="D12" s="32">
        <f>+E12/E2</f>
        <v>20</v>
      </c>
      <c r="E12" s="9">
        <v>40000</v>
      </c>
    </row>
    <row r="13" spans="2:5" ht="15.75">
      <c r="B13" t="s">
        <v>77</v>
      </c>
      <c r="D13" s="33">
        <f>+E13/E2</f>
        <v>10</v>
      </c>
      <c r="E13" s="9">
        <v>20000</v>
      </c>
    </row>
    <row r="14" spans="2:5" ht="15.75">
      <c r="B14" t="s">
        <v>50</v>
      </c>
      <c r="D14" s="32">
        <f>SUM(D8:D13)</f>
        <v>198</v>
      </c>
      <c r="E14" s="9"/>
    </row>
    <row r="15" ht="15.75">
      <c r="D15" s="32"/>
    </row>
    <row r="16" spans="2:4" ht="15.75">
      <c r="B16" t="s">
        <v>51</v>
      </c>
      <c r="D16" s="32">
        <f>+D6-D14</f>
        <v>52</v>
      </c>
    </row>
    <row r="17" spans="2:4" ht="15.75">
      <c r="B17" t="s">
        <v>52</v>
      </c>
      <c r="D17" s="33">
        <f>+D13</f>
        <v>10</v>
      </c>
    </row>
    <row r="18" spans="2:4" ht="15.75">
      <c r="B18" t="s">
        <v>53</v>
      </c>
      <c r="D18" s="32">
        <f>+D16+D17</f>
        <v>62</v>
      </c>
    </row>
    <row r="19" spans="2:5" ht="15.75">
      <c r="B19" t="s">
        <v>54</v>
      </c>
      <c r="D19" s="33">
        <f>+E19/E2</f>
        <v>4.5</v>
      </c>
      <c r="E19" s="9">
        <v>9000</v>
      </c>
    </row>
    <row r="20" spans="2:4" ht="15.75">
      <c r="B20" t="s">
        <v>55</v>
      </c>
      <c r="D20" s="32">
        <f>+D18-D19</f>
        <v>57.5</v>
      </c>
    </row>
    <row r="21" ht="15.75">
      <c r="D21" s="32"/>
    </row>
    <row r="22" spans="2:4" ht="15.75">
      <c r="B22" t="s">
        <v>56</v>
      </c>
      <c r="D22" s="32">
        <f>+D6</f>
        <v>250</v>
      </c>
    </row>
    <row r="23" spans="2:4" ht="15.75">
      <c r="B23" t="s">
        <v>55</v>
      </c>
      <c r="D23" s="33">
        <f>+D20</f>
        <v>57.5</v>
      </c>
    </row>
    <row r="24" spans="2:4" ht="15.75">
      <c r="B24" t="s">
        <v>57</v>
      </c>
      <c r="D24" s="34">
        <f>+D22-D23</f>
        <v>192.5</v>
      </c>
    </row>
  </sheetData>
  <sheetProtection/>
  <printOptions/>
  <pageMargins left="0.75" right="0.75" top="1" bottom="1" header="0.5" footer="0.5"/>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E20"/>
  <sheetViews>
    <sheetView zoomScalePageLayoutView="0" workbookViewId="0" topLeftCell="A1">
      <selection activeCell="A2" sqref="A2"/>
    </sheetView>
  </sheetViews>
  <sheetFormatPr defaultColWidth="9.00390625" defaultRowHeight="15.75"/>
  <cols>
    <col min="2" max="2" width="10.00390625" style="0" customWidth="1"/>
    <col min="3" max="3" width="10.375" style="0" bestFit="1" customWidth="1"/>
    <col min="4" max="4" width="9.125" style="0" bestFit="1" customWidth="1"/>
    <col min="5" max="5" width="11.375" style="0" bestFit="1" customWidth="1"/>
  </cols>
  <sheetData>
    <row r="2" spans="2:5" ht="15.75">
      <c r="B2" t="s">
        <v>84</v>
      </c>
      <c r="C2" s="1" t="s">
        <v>79</v>
      </c>
      <c r="D2" s="1" t="s">
        <v>80</v>
      </c>
      <c r="E2" s="1" t="s">
        <v>3</v>
      </c>
    </row>
    <row r="3" spans="2:5" ht="15.75">
      <c r="B3" t="s">
        <v>81</v>
      </c>
      <c r="C3" s="2">
        <v>30000</v>
      </c>
      <c r="D3" s="43">
        <v>7</v>
      </c>
      <c r="E3" s="2">
        <f>+C3*D3</f>
        <v>210000</v>
      </c>
    </row>
    <row r="4" spans="2:5" ht="15.75">
      <c r="B4" t="s">
        <v>82</v>
      </c>
      <c r="C4" s="2">
        <v>3000</v>
      </c>
      <c r="D4" s="43">
        <v>45</v>
      </c>
      <c r="E4" s="4">
        <f>+C4*D4</f>
        <v>135000</v>
      </c>
    </row>
    <row r="5" spans="3:5" ht="15.75">
      <c r="C5" s="2"/>
      <c r="D5" s="43"/>
      <c r="E5" s="2">
        <f>+E3+E4</f>
        <v>345000</v>
      </c>
    </row>
    <row r="6" spans="3:5" ht="15.75">
      <c r="C6" s="2"/>
      <c r="D6" s="43"/>
      <c r="E6" s="2"/>
    </row>
    <row r="7" spans="2:5" ht="15.75">
      <c r="B7" t="s">
        <v>83</v>
      </c>
      <c r="C7" s="2"/>
      <c r="D7" s="43"/>
      <c r="E7" s="2"/>
    </row>
    <row r="8" spans="2:5" ht="15.75">
      <c r="B8" t="s">
        <v>81</v>
      </c>
      <c r="C8" s="2">
        <f>+C3</f>
        <v>30000</v>
      </c>
      <c r="D8" s="43">
        <f>+E8/C8</f>
        <v>11.5</v>
      </c>
      <c r="E8" s="2">
        <f>+E5</f>
        <v>345000</v>
      </c>
    </row>
    <row r="9" spans="3:5" ht="15.75">
      <c r="C9" s="2"/>
      <c r="D9" s="43"/>
      <c r="E9" s="2"/>
    </row>
    <row r="10" spans="2:5" ht="15.75">
      <c r="B10" t="s">
        <v>85</v>
      </c>
      <c r="C10" s="2"/>
      <c r="D10" s="43"/>
      <c r="E10" s="2"/>
    </row>
    <row r="11" spans="3:5" ht="15.75">
      <c r="C11" s="2"/>
      <c r="D11" s="43"/>
      <c r="E11" s="2"/>
    </row>
    <row r="12" spans="2:5" ht="15.75">
      <c r="B12" t="s">
        <v>84</v>
      </c>
      <c r="C12" s="42" t="s">
        <v>79</v>
      </c>
      <c r="D12" s="44" t="s">
        <v>80</v>
      </c>
      <c r="E12" s="42" t="s">
        <v>3</v>
      </c>
    </row>
    <row r="13" spans="2:5" ht="15.75">
      <c r="B13" t="s">
        <v>81</v>
      </c>
      <c r="C13" s="2">
        <v>200</v>
      </c>
      <c r="D13" s="43">
        <f>+D3</f>
        <v>7</v>
      </c>
      <c r="E13" s="2">
        <f>+C13*D13</f>
        <v>1400</v>
      </c>
    </row>
    <row r="14" spans="2:5" ht="15.75">
      <c r="B14" t="s">
        <v>82</v>
      </c>
      <c r="C14" s="2">
        <v>18</v>
      </c>
      <c r="D14" s="43">
        <f>+D4</f>
        <v>45</v>
      </c>
      <c r="E14" s="4">
        <f>+C14*D14</f>
        <v>810</v>
      </c>
    </row>
    <row r="15" spans="3:5" ht="15.75">
      <c r="C15" s="2"/>
      <c r="D15" s="43"/>
      <c r="E15" s="2">
        <f>+E13+E14</f>
        <v>2210</v>
      </c>
    </row>
    <row r="16" spans="3:5" ht="15.75">
      <c r="C16" s="2"/>
      <c r="D16" s="43"/>
      <c r="E16" s="2"/>
    </row>
    <row r="17" spans="2:5" ht="15.75">
      <c r="B17" t="s">
        <v>83</v>
      </c>
      <c r="C17" s="2"/>
      <c r="D17" s="43"/>
      <c r="E17" s="2"/>
    </row>
    <row r="18" spans="2:5" ht="15.75">
      <c r="B18" t="s">
        <v>81</v>
      </c>
      <c r="C18" s="2">
        <f>+C13</f>
        <v>200</v>
      </c>
      <c r="D18" s="43">
        <f>+D8</f>
        <v>11.5</v>
      </c>
      <c r="E18" s="2">
        <f>+C18*D18</f>
        <v>2300</v>
      </c>
    </row>
    <row r="19" spans="3:5" ht="15.75">
      <c r="C19" s="2"/>
      <c r="D19" s="2"/>
      <c r="E19" s="2"/>
    </row>
    <row r="20" spans="2:5" ht="15.75">
      <c r="B20" t="s">
        <v>222</v>
      </c>
      <c r="C20" s="2"/>
      <c r="D20" s="2"/>
      <c r="E20" s="2">
        <f>+E18-E15</f>
        <v>90</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G33"/>
  <sheetViews>
    <sheetView zoomScalePageLayoutView="0" workbookViewId="0" topLeftCell="A1">
      <selection activeCell="A1" sqref="A1"/>
    </sheetView>
  </sheetViews>
  <sheetFormatPr defaultColWidth="9.00390625" defaultRowHeight="15.75"/>
  <cols>
    <col min="4" max="5" width="10.375" style="0" bestFit="1" customWidth="1"/>
    <col min="6" max="6" width="13.00390625" style="0" bestFit="1" customWidth="1"/>
    <col min="7" max="7" width="10.375" style="0" bestFit="1" customWidth="1"/>
    <col min="8" max="8" width="9.25390625" style="0" bestFit="1" customWidth="1"/>
    <col min="12" max="12" width="10.375" style="0" bestFit="1" customWidth="1"/>
  </cols>
  <sheetData>
    <row r="1" spans="5:7" ht="15.75">
      <c r="E1" s="52"/>
      <c r="F1" s="52"/>
      <c r="G1" s="52"/>
    </row>
    <row r="2" spans="2:7" ht="15.75">
      <c r="B2" t="s">
        <v>86</v>
      </c>
      <c r="E2" s="1" t="s">
        <v>87</v>
      </c>
      <c r="F2" s="1" t="s">
        <v>88</v>
      </c>
      <c r="G2" s="1" t="s">
        <v>89</v>
      </c>
    </row>
    <row r="3" spans="2:7" ht="15.75">
      <c r="B3" t="s">
        <v>90</v>
      </c>
      <c r="E3" s="9">
        <v>1250</v>
      </c>
      <c r="F3" s="9">
        <v>2500</v>
      </c>
      <c r="G3" s="9">
        <v>2000</v>
      </c>
    </row>
    <row r="4" spans="2:7" ht="15.75">
      <c r="B4" t="s">
        <v>91</v>
      </c>
      <c r="E4" s="49">
        <v>5</v>
      </c>
      <c r="F4" s="49">
        <v>9</v>
      </c>
      <c r="G4" s="49">
        <v>7</v>
      </c>
    </row>
    <row r="5" spans="2:7" ht="15.75">
      <c r="B5" t="s">
        <v>110</v>
      </c>
      <c r="E5" s="49">
        <v>16</v>
      </c>
      <c r="F5" s="49">
        <v>13</v>
      </c>
      <c r="G5" s="49">
        <v>16</v>
      </c>
    </row>
    <row r="7" spans="2:7" ht="15.75">
      <c r="B7" t="s">
        <v>100</v>
      </c>
      <c r="E7" s="1" t="s">
        <v>87</v>
      </c>
      <c r="F7" s="1" t="s">
        <v>88</v>
      </c>
      <c r="G7" s="1" t="s">
        <v>89</v>
      </c>
    </row>
    <row r="8" spans="2:7" ht="15.75">
      <c r="B8" t="s">
        <v>96</v>
      </c>
      <c r="E8">
        <v>40</v>
      </c>
      <c r="F8">
        <v>80</v>
      </c>
      <c r="G8">
        <v>40</v>
      </c>
    </row>
    <row r="9" spans="2:7" ht="15.75">
      <c r="B9" t="s">
        <v>97</v>
      </c>
      <c r="E9">
        <v>25</v>
      </c>
      <c r="F9">
        <v>40</v>
      </c>
      <c r="G9">
        <v>20</v>
      </c>
    </row>
    <row r="10" spans="2:7" ht="15.75">
      <c r="B10" t="s">
        <v>98</v>
      </c>
      <c r="E10">
        <v>6</v>
      </c>
      <c r="F10">
        <v>10</v>
      </c>
      <c r="G10">
        <v>4</v>
      </c>
    </row>
    <row r="11" spans="2:7" ht="15.75">
      <c r="B11" t="s">
        <v>99</v>
      </c>
      <c r="E11">
        <v>4</v>
      </c>
      <c r="F11">
        <v>4</v>
      </c>
      <c r="G11">
        <v>6</v>
      </c>
    </row>
    <row r="13" spans="2:7" ht="15.75">
      <c r="B13" t="s">
        <v>92</v>
      </c>
      <c r="E13" s="1" t="s">
        <v>93</v>
      </c>
      <c r="F13" s="1" t="s">
        <v>93</v>
      </c>
      <c r="G13" s="46" t="s">
        <v>307</v>
      </c>
    </row>
    <row r="14" spans="5:7" ht="15.75">
      <c r="E14" s="1" t="s">
        <v>94</v>
      </c>
      <c r="F14" s="1" t="s">
        <v>95</v>
      </c>
      <c r="G14" s="45"/>
    </row>
    <row r="15" spans="2:7" ht="15.75">
      <c r="B15" t="s">
        <v>96</v>
      </c>
      <c r="E15" s="47">
        <v>135000</v>
      </c>
      <c r="F15" s="9">
        <v>900</v>
      </c>
      <c r="G15" s="51">
        <f>+E15/F15</f>
        <v>150</v>
      </c>
    </row>
    <row r="16" spans="2:7" ht="15.75">
      <c r="B16" t="s">
        <v>97</v>
      </c>
      <c r="E16" s="47">
        <v>60000</v>
      </c>
      <c r="F16" s="9">
        <v>3000</v>
      </c>
      <c r="G16" s="51">
        <f>+E16/F16</f>
        <v>20</v>
      </c>
    </row>
    <row r="17" spans="2:7" ht="15.75">
      <c r="B17" t="s">
        <v>98</v>
      </c>
      <c r="E17" s="47">
        <v>36000</v>
      </c>
      <c r="F17" s="9">
        <v>240</v>
      </c>
      <c r="G17" s="51">
        <f>+E17/F17</f>
        <v>150</v>
      </c>
    </row>
    <row r="18" spans="2:7" ht="15.75">
      <c r="B18" t="s">
        <v>99</v>
      </c>
      <c r="E18" s="47">
        <v>30000</v>
      </c>
      <c r="F18" s="9">
        <v>120</v>
      </c>
      <c r="G18" s="51">
        <f>+E18/F18</f>
        <v>250</v>
      </c>
    </row>
    <row r="20" spans="2:7" ht="15.75">
      <c r="B20" t="s">
        <v>103</v>
      </c>
      <c r="E20" s="1" t="s">
        <v>87</v>
      </c>
      <c r="F20" s="1" t="s">
        <v>88</v>
      </c>
      <c r="G20" s="1" t="s">
        <v>89</v>
      </c>
    </row>
    <row r="21" spans="2:7" ht="15.75">
      <c r="B21" t="s">
        <v>96</v>
      </c>
      <c r="E21" s="30">
        <f aca="true" t="shared" si="0" ref="E21:G24">+E8*$G15</f>
        <v>6000</v>
      </c>
      <c r="F21" s="30">
        <f t="shared" si="0"/>
        <v>12000</v>
      </c>
      <c r="G21" s="30">
        <f t="shared" si="0"/>
        <v>6000</v>
      </c>
    </row>
    <row r="22" spans="2:7" ht="15.75">
      <c r="B22" t="s">
        <v>97</v>
      </c>
      <c r="E22" s="30">
        <f t="shared" si="0"/>
        <v>500</v>
      </c>
      <c r="F22" s="30">
        <f t="shared" si="0"/>
        <v>800</v>
      </c>
      <c r="G22" s="30">
        <f t="shared" si="0"/>
        <v>400</v>
      </c>
    </row>
    <row r="23" spans="2:7" ht="15.75">
      <c r="B23" t="s">
        <v>98</v>
      </c>
      <c r="E23" s="30">
        <f t="shared" si="0"/>
        <v>900</v>
      </c>
      <c r="F23" s="30">
        <f t="shared" si="0"/>
        <v>1500</v>
      </c>
      <c r="G23" s="30">
        <f t="shared" si="0"/>
        <v>600</v>
      </c>
    </row>
    <row r="24" spans="2:7" ht="15.75">
      <c r="B24" t="s">
        <v>99</v>
      </c>
      <c r="E24" s="31">
        <f t="shared" si="0"/>
        <v>1000</v>
      </c>
      <c r="F24" s="31">
        <f t="shared" si="0"/>
        <v>1000</v>
      </c>
      <c r="G24" s="31">
        <f t="shared" si="0"/>
        <v>1500</v>
      </c>
    </row>
    <row r="25" spans="2:7" ht="15.75">
      <c r="B25" t="s">
        <v>104</v>
      </c>
      <c r="E25" s="48">
        <f>SUM(E21:E24)</f>
        <v>8400</v>
      </c>
      <c r="F25" s="48">
        <f>SUM(F21:F24)</f>
        <v>15300</v>
      </c>
      <c r="G25" s="48">
        <f>SUM(G21:G24)</f>
        <v>8500</v>
      </c>
    </row>
    <row r="26" spans="2:7" ht="15.75">
      <c r="B26" t="s">
        <v>90</v>
      </c>
      <c r="E26" s="11">
        <f>+E3</f>
        <v>1250</v>
      </c>
      <c r="F26" s="11">
        <f>+F3</f>
        <v>2500</v>
      </c>
      <c r="G26" s="11">
        <f>+G3</f>
        <v>2000</v>
      </c>
    </row>
    <row r="27" spans="2:7" ht="15.75">
      <c r="B27" t="s">
        <v>102</v>
      </c>
      <c r="E27" s="115">
        <f>+E25/E26</f>
        <v>6.72</v>
      </c>
      <c r="F27" s="115">
        <f>+F25/F26</f>
        <v>6.12</v>
      </c>
      <c r="G27" s="115">
        <f>+G25/G26</f>
        <v>4.25</v>
      </c>
    </row>
    <row r="29" spans="2:7" ht="15.75">
      <c r="B29" t="s">
        <v>105</v>
      </c>
      <c r="E29" s="1" t="s">
        <v>87</v>
      </c>
      <c r="F29" s="1" t="s">
        <v>88</v>
      </c>
      <c r="G29" s="1" t="s">
        <v>89</v>
      </c>
    </row>
    <row r="30" spans="2:7" ht="15.75">
      <c r="B30" t="s">
        <v>91</v>
      </c>
      <c r="E30" s="49">
        <f aca="true" t="shared" si="1" ref="E30:G31">+E4</f>
        <v>5</v>
      </c>
      <c r="F30" s="49">
        <f t="shared" si="1"/>
        <v>9</v>
      </c>
      <c r="G30" s="49">
        <f t="shared" si="1"/>
        <v>7</v>
      </c>
    </row>
    <row r="31" spans="2:7" ht="15.75">
      <c r="B31" t="s">
        <v>101</v>
      </c>
      <c r="E31" s="49">
        <f t="shared" si="1"/>
        <v>16</v>
      </c>
      <c r="F31" s="49">
        <f t="shared" si="1"/>
        <v>13</v>
      </c>
      <c r="G31" s="49">
        <f t="shared" si="1"/>
        <v>16</v>
      </c>
    </row>
    <row r="32" spans="2:7" ht="15.75">
      <c r="B32" t="s">
        <v>102</v>
      </c>
      <c r="E32" s="50">
        <f>+E27</f>
        <v>6.72</v>
      </c>
      <c r="F32" s="50">
        <f>+F27</f>
        <v>6.12</v>
      </c>
      <c r="G32" s="50">
        <f>+G27</f>
        <v>4.25</v>
      </c>
    </row>
    <row r="33" spans="2:7" ht="15.75">
      <c r="B33" t="s">
        <v>106</v>
      </c>
      <c r="E33" s="114">
        <f>SUM(E30:E32)</f>
        <v>27.72</v>
      </c>
      <c r="F33" s="114">
        <f>SUM(F30:F32)</f>
        <v>28.12</v>
      </c>
      <c r="G33" s="114">
        <f>SUM(G30:G32)</f>
        <v>27.25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G20"/>
  <sheetViews>
    <sheetView zoomScalePageLayoutView="0" workbookViewId="0" topLeftCell="A1">
      <selection activeCell="A2" sqref="A2"/>
    </sheetView>
  </sheetViews>
  <sheetFormatPr defaultColWidth="9.00390625" defaultRowHeight="15.75"/>
  <cols>
    <col min="4" max="5" width="10.375" style="0" bestFit="1" customWidth="1"/>
    <col min="6" max="6" width="13.00390625" style="0" bestFit="1" customWidth="1"/>
    <col min="7" max="7" width="10.375" style="0" bestFit="1" customWidth="1"/>
    <col min="12" max="12" width="10.375" style="0" bestFit="1" customWidth="1"/>
  </cols>
  <sheetData>
    <row r="2" ht="15.75">
      <c r="B2" t="s">
        <v>111</v>
      </c>
    </row>
    <row r="3" spans="2:5" ht="15.75">
      <c r="B3" t="s">
        <v>0</v>
      </c>
      <c r="E3">
        <v>80</v>
      </c>
    </row>
    <row r="4" ht="15.75">
      <c r="B4" t="s">
        <v>73</v>
      </c>
    </row>
    <row r="5" spans="2:4" ht="15.75">
      <c r="B5" t="s">
        <v>58</v>
      </c>
      <c r="D5">
        <v>30</v>
      </c>
    </row>
    <row r="6" spans="2:4" ht="15.75">
      <c r="B6" t="s">
        <v>107</v>
      </c>
      <c r="D6" s="41">
        <v>6</v>
      </c>
    </row>
    <row r="7" ht="15.75">
      <c r="E7" s="41">
        <f>+D5+D6</f>
        <v>36</v>
      </c>
    </row>
    <row r="8" ht="15.75">
      <c r="E8">
        <f>+E3-E7</f>
        <v>44</v>
      </c>
    </row>
    <row r="9" spans="2:5" ht="15.75">
      <c r="B9" t="s">
        <v>108</v>
      </c>
      <c r="E9" s="11">
        <f>100000*0.08</f>
        <v>8000</v>
      </c>
    </row>
    <row r="10" spans="2:7" ht="15.75">
      <c r="B10" t="s">
        <v>109</v>
      </c>
      <c r="E10" s="9">
        <f>+E8*E9</f>
        <v>352000</v>
      </c>
      <c r="G10" s="5"/>
    </row>
    <row r="11" ht="15.75">
      <c r="G11" s="5"/>
    </row>
    <row r="12" ht="15.75">
      <c r="B12" t="s">
        <v>112</v>
      </c>
    </row>
    <row r="13" spans="2:7" ht="15.75">
      <c r="B13" t="s">
        <v>73</v>
      </c>
      <c r="G13" s="5"/>
    </row>
    <row r="14" spans="2:4" ht="15.75">
      <c r="B14" t="s">
        <v>58</v>
      </c>
      <c r="D14">
        <v>25</v>
      </c>
    </row>
    <row r="15" spans="2:7" ht="15.75">
      <c r="B15" t="s">
        <v>107</v>
      </c>
      <c r="D15" s="41">
        <v>3</v>
      </c>
      <c r="G15" s="5"/>
    </row>
    <row r="16" spans="5:7" ht="15.75">
      <c r="E16">
        <f>+D14+D15</f>
        <v>28</v>
      </c>
      <c r="G16" s="5"/>
    </row>
    <row r="17" spans="2:4" ht="15.75">
      <c r="B17" t="s">
        <v>109</v>
      </c>
      <c r="D17" s="9">
        <f>+E10</f>
        <v>352000</v>
      </c>
    </row>
    <row r="18" spans="2:4" ht="15.75">
      <c r="B18" t="s">
        <v>113</v>
      </c>
      <c r="D18" s="11">
        <v>20000</v>
      </c>
    </row>
    <row r="19" ht="15.75">
      <c r="E19" s="41">
        <f>+D17/D18</f>
        <v>17.6</v>
      </c>
    </row>
    <row r="20" ht="15.75">
      <c r="E20">
        <f>+E16+E19</f>
        <v>45.6</v>
      </c>
    </row>
  </sheetData>
  <sheetProtection/>
  <printOptions/>
  <pageMargins left="0.75" right="0.75" top="1" bottom="1" header="0.5" footer="0.5"/>
  <pageSetup horizontalDpi="600" verticalDpi="600" orientation="portrait" paperSize="9" r:id="rId1"/>
  <rowBreaks count="1" manualBreakCount="1">
    <brk id="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Crom</dc:creator>
  <cp:keywords/>
  <dc:description/>
  <cp:lastModifiedBy>Crom</cp:lastModifiedBy>
  <cp:lastPrinted>2013-11-14T11:04:24Z</cp:lastPrinted>
  <dcterms:created xsi:type="dcterms:W3CDTF">2013-09-24T08:58:03Z</dcterms:created>
  <dcterms:modified xsi:type="dcterms:W3CDTF">2014-01-30T14:09:47Z</dcterms:modified>
  <cp:category/>
  <cp:version/>
  <cp:contentType/>
  <cp:contentStatus/>
</cp:coreProperties>
</file>